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150" windowWidth="18855" windowHeight="11760"/>
  </bookViews>
  <sheets>
    <sheet name="Instructions" sheetId="4" r:id="rId1"/>
    <sheet name="Start Up Questions" sheetId="5" r:id="rId2"/>
    <sheet name="Current Questions" sheetId="6" r:id="rId3"/>
    <sheet name="Goals" sheetId="7" r:id="rId4"/>
    <sheet name="Scorecard" sheetId="3" r:id="rId5"/>
    <sheet name="Assessment Form" sheetId="8" r:id="rId6"/>
  </sheets>
  <calcPr calcId="145621"/>
</workbook>
</file>

<file path=xl/calcChain.xml><?xml version="1.0" encoding="utf-8"?>
<calcChain xmlns="http://schemas.openxmlformats.org/spreadsheetml/2006/main">
  <c r="P11" i="7" l="1"/>
  <c r="P9" i="7"/>
  <c r="L9" i="7"/>
  <c r="L11" i="7"/>
  <c r="H9" i="7"/>
  <c r="D16" i="7" l="1"/>
  <c r="D15" i="7"/>
  <c r="P17" i="7"/>
  <c r="L17" i="7"/>
  <c r="P15" i="7"/>
  <c r="L15" i="7"/>
  <c r="H15" i="7"/>
  <c r="H16" i="7"/>
  <c r="G15" i="7" l="1"/>
  <c r="D10" i="7"/>
  <c r="P53" i="7"/>
  <c r="L38" i="7"/>
  <c r="H35" i="7"/>
  <c r="H36" i="7"/>
  <c r="P30" i="7"/>
  <c r="P77" i="7" l="1"/>
  <c r="P78" i="7"/>
  <c r="H31" i="7" l="1"/>
  <c r="P76" i="7" l="1"/>
  <c r="L76" i="7"/>
  <c r="P64" i="7"/>
  <c r="H65" i="7"/>
  <c r="P37" i="7"/>
  <c r="P35" i="7"/>
  <c r="L37" i="7"/>
  <c r="L35" i="7"/>
  <c r="L31" i="7"/>
  <c r="L30" i="7"/>
  <c r="H30" i="7"/>
  <c r="H29" i="7"/>
  <c r="D55" i="6"/>
  <c r="D54" i="6"/>
  <c r="D53" i="6"/>
  <c r="D52" i="6"/>
  <c r="D51" i="6"/>
  <c r="D34" i="6"/>
  <c r="B4" i="6"/>
  <c r="D64" i="7"/>
  <c r="D36" i="7"/>
  <c r="A5" i="3" l="1"/>
  <c r="A32" i="8"/>
  <c r="B5" i="7"/>
  <c r="H75" i="7"/>
  <c r="G75" i="7" s="1"/>
  <c r="P71" i="7"/>
  <c r="L71" i="7"/>
  <c r="H70" i="7"/>
  <c r="G70" i="7" s="1"/>
  <c r="L70" i="7" s="1"/>
  <c r="D67" i="7"/>
  <c r="H64" i="7"/>
  <c r="D63" i="7"/>
  <c r="P58" i="7"/>
  <c r="L58" i="7"/>
  <c r="H59" i="7"/>
  <c r="H58" i="7"/>
  <c r="H57" i="7"/>
  <c r="D52" i="7"/>
  <c r="H52" i="7"/>
  <c r="D51" i="7"/>
  <c r="P52" i="7"/>
  <c r="L52" i="7"/>
  <c r="P47" i="7"/>
  <c r="L47" i="7"/>
  <c r="H46" i="7"/>
  <c r="G46" i="7" s="1"/>
  <c r="L46" i="7" s="1"/>
  <c r="D41" i="7"/>
  <c r="H43" i="7"/>
  <c r="H42" i="7"/>
  <c r="D35" i="7"/>
  <c r="G51" i="7" l="1"/>
  <c r="L51" i="7" s="1"/>
  <c r="K51" i="7" s="1"/>
  <c r="G63" i="7"/>
  <c r="L63" i="7" s="1"/>
  <c r="K63" i="7" s="1"/>
  <c r="B76" i="7"/>
  <c r="L75" i="7"/>
  <c r="K75" i="7" s="1"/>
  <c r="P75" i="7" s="1"/>
  <c r="O75" i="7" s="1"/>
  <c r="F21" i="3" s="1"/>
  <c r="K70" i="7"/>
  <c r="P70" i="7" s="1"/>
  <c r="O70" i="7" s="1"/>
  <c r="F20" i="3" s="1"/>
  <c r="G57" i="7"/>
  <c r="L57" i="7" s="1"/>
  <c r="K57" i="7" s="1"/>
  <c r="P57" i="7" s="1"/>
  <c r="O57" i="7" s="1"/>
  <c r="K46" i="7"/>
  <c r="P46" i="7" s="1"/>
  <c r="O46" i="7" s="1"/>
  <c r="G41" i="7"/>
  <c r="L41" i="7" s="1"/>
  <c r="K41" i="7" s="1"/>
  <c r="P41" i="7" s="1"/>
  <c r="O41" i="7" s="1"/>
  <c r="P38" i="7"/>
  <c r="O35" i="7" s="1"/>
  <c r="K35" i="7"/>
  <c r="G35" i="7"/>
  <c r="G29" i="7"/>
  <c r="D25" i="7"/>
  <c r="G25" i="7" s="1"/>
  <c r="D21" i="7"/>
  <c r="P21" i="7"/>
  <c r="L21" i="7"/>
  <c r="H21" i="7"/>
  <c r="K21" i="7" l="1"/>
  <c r="O21" i="7"/>
  <c r="J21" i="3"/>
  <c r="H29" i="8" s="1"/>
  <c r="I21" i="3"/>
  <c r="G29" i="8" s="1"/>
  <c r="G21" i="7"/>
  <c r="B71" i="7"/>
  <c r="B47" i="7"/>
  <c r="F16" i="3"/>
  <c r="B58" i="7"/>
  <c r="F18" i="3"/>
  <c r="B42" i="7"/>
  <c r="F15" i="3"/>
  <c r="P63" i="7"/>
  <c r="O63" i="7" s="1"/>
  <c r="P51" i="7"/>
  <c r="O51" i="7" s="1"/>
  <c r="L29" i="7"/>
  <c r="K29" i="7" s="1"/>
  <c r="K25" i="7"/>
  <c r="O25" i="7"/>
  <c r="D9" i="7"/>
  <c r="P18" i="7"/>
  <c r="O15" i="7" s="1"/>
  <c r="L18" i="7"/>
  <c r="K15" i="7" s="1"/>
  <c r="P12" i="7"/>
  <c r="L12" i="7"/>
  <c r="H10" i="7"/>
  <c r="F14" i="3" l="1"/>
  <c r="F12" i="3"/>
  <c r="F11" i="3"/>
  <c r="G9" i="7"/>
  <c r="K9" i="7"/>
  <c r="O9" i="7"/>
  <c r="I20" i="3"/>
  <c r="G27" i="8" s="1"/>
  <c r="J20" i="3"/>
  <c r="H27" i="8" s="1"/>
  <c r="I18" i="3"/>
  <c r="G23" i="8" s="1"/>
  <c r="H18" i="3"/>
  <c r="F23" i="8" s="1"/>
  <c r="J18" i="3"/>
  <c r="H23" i="8" s="1"/>
  <c r="B64" i="7"/>
  <c r="F19" i="3"/>
  <c r="B52" i="7"/>
  <c r="F17" i="3"/>
  <c r="B36" i="7"/>
  <c r="B22" i="7"/>
  <c r="B26" i="7"/>
  <c r="F10" i="3" l="1"/>
  <c r="F9" i="3"/>
  <c r="P29" i="7"/>
  <c r="O29" i="7" s="1"/>
  <c r="B16" i="7"/>
  <c r="B10" i="7"/>
  <c r="B29" i="7" l="1"/>
  <c r="H81" i="7" s="1"/>
  <c r="F13" i="3"/>
  <c r="L81" i="7" l="1"/>
  <c r="P81" i="7"/>
  <c r="D12" i="3"/>
  <c r="H16" i="3"/>
  <c r="F19" i="8" s="1"/>
  <c r="D21" i="3"/>
  <c r="H21" i="3"/>
  <c r="F29" i="8" s="1"/>
  <c r="D18" i="3"/>
  <c r="D20" i="3"/>
  <c r="H20" i="3"/>
  <c r="F27" i="8" s="1"/>
  <c r="D82" i="7" l="1"/>
  <c r="D83" i="7" s="1"/>
  <c r="D81" i="7"/>
  <c r="I17" i="3"/>
  <c r="G21" i="8" s="1"/>
  <c r="D14" i="3"/>
  <c r="H12" i="3"/>
  <c r="F11" i="8" s="1"/>
  <c r="I12" i="3"/>
  <c r="G11" i="8" s="1"/>
  <c r="J12" i="3"/>
  <c r="H11" i="8" s="1"/>
  <c r="J16" i="3"/>
  <c r="H19" i="8" s="1"/>
  <c r="I16" i="3"/>
  <c r="G19" i="8" s="1"/>
  <c r="D16" i="3"/>
  <c r="I15" i="3"/>
  <c r="G17" i="8" s="1"/>
  <c r="H19" i="3"/>
  <c r="F25" i="8" s="1"/>
  <c r="I19" i="3"/>
  <c r="G25" i="8" s="1"/>
  <c r="J19" i="3"/>
  <c r="H25" i="8" s="1"/>
  <c r="D19" i="3"/>
  <c r="I9" i="3"/>
  <c r="G5" i="8" s="1"/>
  <c r="H17" i="3" l="1"/>
  <c r="F21" i="8" s="1"/>
  <c r="H14" i="3"/>
  <c r="F15" i="8" s="1"/>
  <c r="I14" i="3"/>
  <c r="G15" i="8" s="1"/>
  <c r="J14" i="3"/>
  <c r="H15" i="8" s="1"/>
  <c r="J17" i="3"/>
  <c r="H21" i="8" s="1"/>
  <c r="D17" i="3"/>
  <c r="J15" i="3"/>
  <c r="H17" i="8" s="1"/>
  <c r="D15" i="3"/>
  <c r="H15" i="3"/>
  <c r="F17" i="8" s="1"/>
  <c r="D9" i="3"/>
  <c r="D10" i="3"/>
  <c r="J9" i="3"/>
  <c r="H5" i="8" s="1"/>
  <c r="H9" i="3"/>
  <c r="F5" i="8" s="1"/>
  <c r="J11" i="3"/>
  <c r="H9" i="8" s="1"/>
  <c r="H11" i="3"/>
  <c r="F9" i="8" s="1"/>
  <c r="D11" i="3"/>
  <c r="I11" i="3"/>
  <c r="G9" i="8" s="1"/>
  <c r="J10" i="3" l="1"/>
  <c r="H7" i="8" s="1"/>
  <c r="H10" i="3"/>
  <c r="F7" i="8" s="1"/>
  <c r="I10" i="3"/>
  <c r="G7" i="8" s="1"/>
  <c r="J13" i="3"/>
  <c r="H13" i="8" s="1"/>
  <c r="I13" i="3"/>
  <c r="G13" i="8" s="1"/>
  <c r="H13" i="3"/>
  <c r="F13" i="8" s="1"/>
  <c r="D13" i="3"/>
  <c r="D23" i="3" s="1"/>
  <c r="H31" i="8" l="1"/>
  <c r="F31" i="8"/>
  <c r="G31" i="8"/>
  <c r="J23" i="3"/>
  <c r="H23" i="3"/>
  <c r="I23" i="3"/>
  <c r="F32" i="8" l="1"/>
  <c r="J24" i="3"/>
  <c r="F24" i="3" s="1"/>
  <c r="F35" i="8" l="1"/>
  <c r="G37" i="8"/>
</calcChain>
</file>

<file path=xl/comments1.xml><?xml version="1.0" encoding="utf-8"?>
<comments xmlns="http://schemas.openxmlformats.org/spreadsheetml/2006/main">
  <authors>
    <author>srdeemer</author>
  </authors>
  <commentList>
    <comment ref="C7" authorId="0">
      <text>
        <r>
          <rPr>
            <b/>
            <sz val="9"/>
            <color indexed="81"/>
            <rFont val="Tahoma"/>
            <family val="2"/>
          </rPr>
          <t>Enter the name of your council (do not include the word "council")</t>
        </r>
        <r>
          <rPr>
            <sz val="9"/>
            <color indexed="81"/>
            <rFont val="Tahoma"/>
            <charset val="1"/>
          </rPr>
          <t xml:space="preserve">
</t>
        </r>
      </text>
    </comment>
    <comment ref="C8" authorId="0">
      <text>
        <r>
          <rPr>
            <b/>
            <sz val="9"/>
            <color indexed="81"/>
            <rFont val="Tahoma"/>
            <family val="2"/>
          </rPr>
          <t>Enter the name of your district (do not include the work "district")</t>
        </r>
        <r>
          <rPr>
            <sz val="9"/>
            <color indexed="81"/>
            <rFont val="Tahoma"/>
            <charset val="1"/>
          </rPr>
          <t xml:space="preserve">
</t>
        </r>
      </text>
    </comment>
    <comment ref="C9" authorId="0">
      <text>
        <r>
          <rPr>
            <b/>
            <sz val="9"/>
            <color indexed="81"/>
            <rFont val="Tahoma"/>
            <charset val="1"/>
          </rPr>
          <t>Enter the pack's numeric designation (do not include the word "pack")</t>
        </r>
        <r>
          <rPr>
            <sz val="9"/>
            <color indexed="81"/>
            <rFont val="Tahoma"/>
            <charset val="1"/>
          </rPr>
          <t xml:space="preserve">
</t>
        </r>
      </text>
    </comment>
    <comment ref="B13" authorId="0">
      <text>
        <r>
          <rPr>
            <b/>
            <sz val="9"/>
            <color indexed="81"/>
            <rFont val="Tahoma"/>
            <family val="2"/>
          </rPr>
          <t>How many second year Webelos Scouts you know will be leaving your pack before the end of the year.</t>
        </r>
        <r>
          <rPr>
            <sz val="9"/>
            <color indexed="81"/>
            <rFont val="Tahoma"/>
            <family val="2"/>
          </rPr>
          <t xml:space="preserve">
</t>
        </r>
      </text>
    </comment>
    <comment ref="B16" authorId="0">
      <text>
        <r>
          <rPr>
            <sz val="9"/>
            <color indexed="81"/>
            <rFont val="Tahoma"/>
            <charset val="1"/>
          </rPr>
          <t xml:space="preserve">Obtain this number from your council or previous year JTE form. 
</t>
        </r>
      </text>
    </comment>
    <comment ref="B19" authorId="0">
      <text>
        <r>
          <rPr>
            <b/>
            <sz val="9"/>
            <color indexed="81"/>
            <rFont val="Tahoma"/>
            <charset val="1"/>
          </rPr>
          <t>This is the number of scouts that were on your previous year's charter renewal as of the start of that year.  You can obtain this number from your previous JTE worksheet or the council.</t>
        </r>
        <r>
          <rPr>
            <sz val="9"/>
            <color indexed="81"/>
            <rFont val="Tahoma"/>
            <charset val="1"/>
          </rPr>
          <t xml:space="preserve">
</t>
        </r>
      </text>
    </comment>
    <comment ref="B20" authorId="0">
      <text>
        <r>
          <rPr>
            <b/>
            <sz val="9"/>
            <color indexed="81"/>
            <rFont val="Tahoma"/>
            <charset val="1"/>
          </rPr>
          <t>This is the number of Cubs who are still of Cub Scout age, were on the previous years roster and did not register for the current year.</t>
        </r>
        <r>
          <rPr>
            <sz val="9"/>
            <color indexed="81"/>
            <rFont val="Tahoma"/>
            <charset val="1"/>
          </rPr>
          <t xml:space="preserve">
</t>
        </r>
      </text>
    </comment>
    <comment ref="B21" authorId="0">
      <text>
        <r>
          <rPr>
            <b/>
            <sz val="9"/>
            <color indexed="81"/>
            <rFont val="Tahoma"/>
            <charset val="1"/>
          </rPr>
          <t>This would be the Percentage retained figure calculated when the previous year JTE was completed.  If this is not available, check with the council office.</t>
        </r>
        <r>
          <rPr>
            <sz val="9"/>
            <color indexed="81"/>
            <rFont val="Tahoma"/>
            <charset val="1"/>
          </rPr>
          <t xml:space="preserve">
</t>
        </r>
      </text>
    </comment>
    <comment ref="B31" authorId="0">
      <text>
        <r>
          <rPr>
            <b/>
            <sz val="9"/>
            <color indexed="81"/>
            <rFont val="Tahoma"/>
            <charset val="1"/>
          </rPr>
          <t>This is the percentage calculated when completing the previous year JTE form.  If this is not available, check with council for this number.</t>
        </r>
        <r>
          <rPr>
            <sz val="9"/>
            <color indexed="81"/>
            <rFont val="Tahoma"/>
            <charset val="1"/>
          </rPr>
          <t xml:space="preserve">
</t>
        </r>
      </text>
    </comment>
  </commentList>
</comments>
</file>

<file path=xl/comments2.xml><?xml version="1.0" encoding="utf-8"?>
<comments xmlns="http://schemas.openxmlformats.org/spreadsheetml/2006/main">
  <authors>
    <author>srdeemer</author>
  </authors>
  <commentList>
    <comment ref="B8" authorId="0">
      <text>
        <r>
          <rPr>
            <b/>
            <sz val="9"/>
            <color indexed="81"/>
            <rFont val="Tahoma"/>
            <family val="2"/>
          </rPr>
          <t>Remember to remove any second year Webelos scouts from this count if they had aged out or bridged by this date</t>
        </r>
        <r>
          <rPr>
            <sz val="9"/>
            <color indexed="81"/>
            <rFont val="Tahoma"/>
            <charset val="1"/>
          </rPr>
          <t xml:space="preserve">
</t>
        </r>
      </text>
    </comment>
    <comment ref="B14" authorId="0">
      <text>
        <r>
          <rPr>
            <b/>
            <sz val="9"/>
            <color indexed="81"/>
            <rFont val="Tahoma"/>
            <charset val="1"/>
          </rPr>
          <t>The is the count of cub scouts who earned a rank, not the count of ranks earned or a percentage.  Include scouts who were on the charter at the start of the year but may not be currently in the pack</t>
        </r>
        <r>
          <rPr>
            <sz val="9"/>
            <color indexed="81"/>
            <rFont val="Tahoma"/>
            <charset val="1"/>
          </rPr>
          <t xml:space="preserve">
</t>
        </r>
      </text>
    </comment>
    <comment ref="B18" authorId="0">
      <text>
        <r>
          <rPr>
            <b/>
            <sz val="9"/>
            <color indexed="81"/>
            <rFont val="Tahoma"/>
            <charset val="1"/>
          </rPr>
          <t>This is a count of scouts who attended at least one of the camps offered.  If a scout attended more than one camp, only count him once.  This does not have to be a camp within their home district or council</t>
        </r>
        <r>
          <rPr>
            <sz val="9"/>
            <color indexed="81"/>
            <rFont val="Tahoma"/>
            <charset val="1"/>
          </rPr>
          <t xml:space="preserve">
</t>
        </r>
      </text>
    </comment>
    <comment ref="B24" authorId="0">
      <text>
        <r>
          <rPr>
            <b/>
            <sz val="9"/>
            <color indexed="81"/>
            <rFont val="Tahoma"/>
            <charset val="1"/>
          </rPr>
          <t>Service projects and hours must be recorded in the website to count towards JTE!</t>
        </r>
        <r>
          <rPr>
            <sz val="9"/>
            <color indexed="81"/>
            <rFont val="Tahoma"/>
            <charset val="1"/>
          </rPr>
          <t xml:space="preserve">
</t>
        </r>
      </text>
    </comment>
  </commentList>
</comments>
</file>

<file path=xl/comments3.xml><?xml version="1.0" encoding="utf-8"?>
<comments xmlns="http://schemas.openxmlformats.org/spreadsheetml/2006/main">
  <authors>
    <author>srdeemer</author>
  </authors>
  <commentList>
    <comment ref="D26" authorId="0">
      <text>
        <r>
          <rPr>
            <b/>
            <sz val="9"/>
            <color indexed="81"/>
            <rFont val="Tahoma"/>
            <family val="2"/>
          </rPr>
          <t>Enter date of most recent assessment of the unit.</t>
        </r>
        <r>
          <rPr>
            <sz val="9"/>
            <color indexed="81"/>
            <rFont val="Tahoma"/>
            <family val="2"/>
          </rPr>
          <t xml:space="preserve">
</t>
        </r>
      </text>
    </comment>
    <comment ref="D27" authorId="0">
      <text>
        <r>
          <rPr>
            <b/>
            <sz val="9"/>
            <color indexed="81"/>
            <rFont val="Tahoma"/>
            <family val="2"/>
          </rPr>
          <t>Enter initials of the commissioner doing the assessment on the above date.</t>
        </r>
        <r>
          <rPr>
            <sz val="9"/>
            <color indexed="81"/>
            <rFont val="Tahoma"/>
            <family val="2"/>
          </rPr>
          <t xml:space="preserve">
</t>
        </r>
      </text>
    </comment>
  </commentList>
</comments>
</file>

<file path=xl/sharedStrings.xml><?xml version="1.0" encoding="utf-8"?>
<sst xmlns="http://schemas.openxmlformats.org/spreadsheetml/2006/main" count="423" uniqueCount="252">
  <si>
    <t>Advancement</t>
  </si>
  <si>
    <t>Objective</t>
  </si>
  <si>
    <t>Bronze</t>
  </si>
  <si>
    <t>Silver</t>
  </si>
  <si>
    <t>Gold</t>
  </si>
  <si>
    <t>1)</t>
  </si>
  <si>
    <t>OR</t>
  </si>
  <si>
    <t>Achieved</t>
  </si>
  <si>
    <t>Level</t>
  </si>
  <si>
    <t>Points</t>
  </si>
  <si>
    <t>2)</t>
  </si>
  <si>
    <t>Retention</t>
  </si>
  <si>
    <t>3)</t>
  </si>
  <si>
    <t>Building Scouting</t>
  </si>
  <si>
    <t>4)</t>
  </si>
  <si>
    <t>Outdoor Activities</t>
  </si>
  <si>
    <t>5)</t>
  </si>
  <si>
    <t>6)</t>
  </si>
  <si>
    <t>Day/Resident Camp</t>
  </si>
  <si>
    <t>7)</t>
  </si>
  <si>
    <t>Service Projects</t>
  </si>
  <si>
    <t>8)</t>
  </si>
  <si>
    <t>9)</t>
  </si>
  <si>
    <t>Webelos to Scout</t>
  </si>
  <si>
    <t>10)</t>
  </si>
  <si>
    <t>Budget</t>
  </si>
  <si>
    <t>11)</t>
  </si>
  <si>
    <t>Pack &amp; Den Meetings</t>
  </si>
  <si>
    <t>Committee Meetings</t>
  </si>
  <si>
    <t>12)</t>
  </si>
  <si>
    <t>Re-register on time</t>
  </si>
  <si>
    <t>13)</t>
  </si>
  <si>
    <t>Totals</t>
  </si>
  <si>
    <t>n</t>
  </si>
  <si>
    <t>Worksheet</t>
  </si>
  <si>
    <t>Revised</t>
  </si>
  <si>
    <t>Assessment Date</t>
  </si>
  <si>
    <t>Assessment by</t>
  </si>
  <si>
    <t>General Questions</t>
  </si>
  <si>
    <t>Advancement Questions</t>
  </si>
  <si>
    <t>What is your Council name?</t>
  </si>
  <si>
    <t>What is your District name?</t>
  </si>
  <si>
    <t>What is the Pack's number?</t>
  </si>
  <si>
    <t>Retention Questions</t>
  </si>
  <si>
    <t>Activity Questions</t>
  </si>
  <si>
    <t>Does the Pack have a registered Cubmaster (Y/N)?</t>
  </si>
  <si>
    <t>Do all the dens in the Pack have leaders (Y/N)?</t>
  </si>
  <si>
    <t>Membership Questions</t>
  </si>
  <si>
    <t>How many total Cub Scouts are in the pack today?</t>
  </si>
  <si>
    <t>Service Questions</t>
  </si>
  <si>
    <t>Did at least one of these service projects benefit the Charter Organization (Y/N)?</t>
  </si>
  <si>
    <t>Webelos-to-Scout Questions</t>
  </si>
  <si>
    <t>Did one of these involve parent orientation and camp promotion (Y/N)?</t>
  </si>
  <si>
    <t>Budget Questions</t>
  </si>
  <si>
    <t>Does the Pack have a  written budget for the year (Y/N)?</t>
  </si>
  <si>
    <t>Does the budget follow BSA policies (Y/N)?</t>
  </si>
  <si>
    <t>Does the budget include ideas from the Cub Scouts (Y/N)?</t>
  </si>
  <si>
    <t>Meeting Questions</t>
  </si>
  <si>
    <t>Have program plans been reviewed at one or more meetings (Y/N)?</t>
  </si>
  <si>
    <t>Has parental involvement been requested in pack planning (Y/N)?</t>
  </si>
  <si>
    <t>Fitness Questions</t>
  </si>
  <si>
    <t>Does the pack coordinate and promote group fitness activities (Y/N)?</t>
  </si>
  <si>
    <t>Does the pack hold ongoing fitness competition that allows tracking of performance (Y/N)?</t>
  </si>
  <si>
    <t>Registration Questions</t>
  </si>
  <si>
    <t>Scouts advance a rank</t>
  </si>
  <si>
    <t>AND</t>
  </si>
  <si>
    <t>Scouts retained</t>
  </si>
  <si>
    <t>% of Scouts advance a rank</t>
  </si>
  <si>
    <t>Current</t>
  </si>
  <si>
    <t>scouts</t>
  </si>
  <si>
    <t>%</t>
  </si>
  <si>
    <t>Scouts in the pack</t>
  </si>
  <si>
    <t>Registered Cub Scouts</t>
  </si>
  <si>
    <t>outdoor activities</t>
  </si>
  <si>
    <t>activities</t>
  </si>
  <si>
    <t>Trained Leadership</t>
  </si>
  <si>
    <t>Leadership/Training Questions</t>
  </si>
  <si>
    <t>Committee Membership</t>
  </si>
  <si>
    <t>% of scouts attend a camp</t>
  </si>
  <si>
    <t>scouts attend a camp</t>
  </si>
  <si>
    <t>service projects</t>
  </si>
  <si>
    <t>Project for charter org.</t>
  </si>
  <si>
    <t>Hours in JTE website</t>
  </si>
  <si>
    <t>projects</t>
  </si>
  <si>
    <t>Leadership Planning</t>
  </si>
  <si>
    <t>activities with a troop</t>
  </si>
  <si>
    <t>Parent Orientation/camp promotion meeting</t>
  </si>
  <si>
    <t>Webelos register w/a troop</t>
  </si>
  <si>
    <t>Webelos registered w/a troop</t>
  </si>
  <si>
    <t>Written budget exists</t>
  </si>
  <si>
    <t>Budget regularly reviewed</t>
  </si>
  <si>
    <t>BSA guidelines followed</t>
  </si>
  <si>
    <t>Bronze Level earned</t>
  </si>
  <si>
    <t>Silver Level earned</t>
  </si>
  <si>
    <t>Bronze level earned</t>
  </si>
  <si>
    <t>Silver level earned</t>
  </si>
  <si>
    <t>Cub Scout ideas used</t>
  </si>
  <si>
    <t>See individual items under each level</t>
  </si>
  <si>
    <t>Is the written budget regularly reviewed at pack meetings (Y/N)?</t>
  </si>
  <si>
    <t>Pack/Den Meetings</t>
  </si>
  <si>
    <t>pack meetings per year</t>
  </si>
  <si>
    <t>committee meetings/year</t>
  </si>
  <si>
    <t>Pack Mtgs</t>
  </si>
  <si>
    <t>How many Tiger Dens are in the Pack?</t>
  </si>
  <si>
    <t>How many Wolf Dens are in the Pack?</t>
  </si>
  <si>
    <t>How many Bear Dens are in the Pack?</t>
  </si>
  <si>
    <t>How many First Year Webelos Dens are in the Pack?</t>
  </si>
  <si>
    <t>How many Second Year Webelos Dens are in the Pack?</t>
  </si>
  <si>
    <t>Program planning</t>
  </si>
  <si>
    <t>Fitness</t>
  </si>
  <si>
    <t>Pack coordinates group fitness activities</t>
  </si>
  <si>
    <t>Pack has fitness competition</t>
  </si>
  <si>
    <t>Program Planning Questions</t>
  </si>
  <si>
    <t>Reregister On Time</t>
  </si>
  <si>
    <t>Reregistered on time</t>
  </si>
  <si>
    <t>Not Met</t>
  </si>
  <si>
    <t>Summary</t>
  </si>
  <si>
    <t>currently at this level</t>
  </si>
  <si>
    <t>BRONZE LEVEL</t>
  </si>
  <si>
    <t>SILVER LEVEL</t>
  </si>
  <si>
    <t>GOLD LEVEL</t>
  </si>
  <si>
    <t>Have 3 outdoor activities during the year</t>
  </si>
  <si>
    <t>Have 4 outdoor activities during the year</t>
  </si>
  <si>
    <t>Have 5 outdoor activities during the year</t>
  </si>
  <si>
    <t>Participate in 2 service projects</t>
  </si>
  <si>
    <t>Participate in 3 service projects</t>
  </si>
  <si>
    <t>Participate in 4 service projects</t>
  </si>
  <si>
    <t>With a Troop, hold 2 joint activities, one of which is a parent orientation and camp promotion meeting.</t>
  </si>
  <si>
    <t>Have a writen budget reviewed at committee meetings that follows BSA policies</t>
  </si>
  <si>
    <t>Bronze Level plus include Scout ideas in the budgeting process</t>
  </si>
  <si>
    <t>Have 40% of Cub Scouts advanced 1 rank or have a 2% point increase</t>
  </si>
  <si>
    <t>Have 55% of Cub Scouts advanced, or 40% advance and have a 2% increase</t>
  </si>
  <si>
    <t>Have 75% of Cub Scouts advanced, or 55% and have a 2% point increase</t>
  </si>
  <si>
    <t>Retain and re-register 60%  of  eligible members or have a 2% point increase</t>
  </si>
  <si>
    <t>Retain and re-register 65%  of members or retain and re-register 60% and have a 2% point increase</t>
  </si>
  <si>
    <t>Retain and re-register 75%  of members or retain and re-register 65% and have a 2% point increase</t>
  </si>
  <si>
    <t>Trained leadership: Have a trained and engaged pack committee.</t>
  </si>
  <si>
    <t>Leadership planning: Next year's leaders are identified early.</t>
  </si>
  <si>
    <t>Webelos-to-Scout transition: Have a Webelos-to-Scout transition plan with a troop or troops.</t>
  </si>
  <si>
    <t>60% of eligible Webelos register with a troop.</t>
  </si>
  <si>
    <t>80% of eligible Webelos register with a troop.</t>
  </si>
  <si>
    <t>Pack and den meetings: Packs and dens have regular meetings.</t>
  </si>
  <si>
    <t>Fitness: Pack and Den meetings have activities that include a physical fitness component.</t>
  </si>
  <si>
    <t>Earn the Bronze level plus the Pack promotes and coordinates group fitness activities.</t>
  </si>
  <si>
    <t>Earn the Silver level plus the Pack holds an ongoing fitness competition where members can track their performance.</t>
  </si>
  <si>
    <t>Reregister on-time</t>
  </si>
  <si>
    <t>By 5/31 Pack Committee Recruits/Confirms Pack and Den Leadership for next year.</t>
  </si>
  <si>
    <t>Earn Bronze Level plus the pack holds its fall recruitment by 9/30</t>
  </si>
  <si>
    <t>Building Scouting: Have an increase in membership or be larger than the avg. size Pack.</t>
  </si>
  <si>
    <t>Day/resident camp: Increase the percentage of Cub Scouts attending  day camp, Family camp, and/or Cub resident camp.</t>
  </si>
  <si>
    <t>Service projects: The pack participates in service projects, with 1 benefitting your charter organization. The projects and hours are entered on the JTE website.</t>
  </si>
  <si>
    <t>POINTS</t>
  </si>
  <si>
    <t>Brnz</t>
  </si>
  <si>
    <t>Silvr</t>
  </si>
  <si>
    <t>Earn Bronze &amp; Silver  Levels; every leadership position in the Pack filled by 10/15</t>
  </si>
  <si>
    <t>Total Points</t>
  </si>
  <si>
    <t>We certify on our honor as scout leaders that these requirements have been completed</t>
  </si>
  <si>
    <t>Level Achieved:</t>
  </si>
  <si>
    <t>Did not achieve:</t>
  </si>
  <si>
    <t>Building Cub Scouting</t>
  </si>
  <si>
    <t>Note: "Cub Scouts" referrs to all scouts - Tiger through Webelos 2</t>
  </si>
  <si>
    <t>Have the projects and hours been entered into the JTE website (Y/N)?</t>
  </si>
  <si>
    <t>y</t>
  </si>
  <si>
    <t>Y</t>
  </si>
  <si>
    <t>N</t>
  </si>
  <si>
    <t># Dens</t>
  </si>
  <si>
    <t>Scouts in pack w/increase</t>
  </si>
  <si>
    <t>Upcoming year budget completed by end of current program year</t>
  </si>
  <si>
    <t>Registered Cubmaster</t>
  </si>
  <si>
    <t>Registered Den Leaders</t>
  </si>
  <si>
    <t>Cubmaster Trained</t>
  </si>
  <si>
    <t>All Den Leaders Trained</t>
  </si>
  <si>
    <t>2/3 of Committee Members trained</t>
  </si>
  <si>
    <t>meetings/month per den during school year</t>
  </si>
  <si>
    <t>Summertime Pack Award</t>
  </si>
  <si>
    <t>Has the SCOUTStrong program been introduced to the pack (Y/N)?</t>
  </si>
  <si>
    <t>Has the pack provided email addresses for all parents of registered youth and registered adults(Y/N)?</t>
  </si>
  <si>
    <t>Has the pack promoted the use of the Unit Tools software on MyScouting (Y/N)?</t>
  </si>
  <si>
    <t>Email Addresses provided</t>
  </si>
  <si>
    <t>Unit Tools promoted</t>
  </si>
  <si>
    <t>Advancement: Increase the percentage of Cub Scouts earning rank advancements.</t>
  </si>
  <si>
    <t>Retention: Improve retention rate.</t>
  </si>
  <si>
    <t>Have a net gain of one member over last year, or have at least 20 members.</t>
  </si>
  <si>
    <t>Increase youth members by 5% or have at least 40 members.</t>
  </si>
  <si>
    <t>Increase youth members by 10% or have at least 60 members with an increase over last year.</t>
  </si>
  <si>
    <t>Outdoor activities: The pack has activities in the outdoors.</t>
  </si>
  <si>
    <t>Have a Cubmaster and a committee with at least three members. All dens have registered leaders.</t>
  </si>
  <si>
    <t>33% or 2 percentage points increase.</t>
  </si>
  <si>
    <t>50% or 33% and 2 percentage point increase.</t>
  </si>
  <si>
    <t>75% or 50% and 2 percentage point increase.</t>
  </si>
  <si>
    <t>Budget: The pack has a budget that is reviewed by the committee and follows BSA policies relating to fundraising and fiscal management.</t>
  </si>
  <si>
    <t>Earn the Silver level, plus budget is completed before the next program year.</t>
  </si>
  <si>
    <t>Hold 9 pack meetings a year, with 1 meeting reviewing program plans and asking for parental involvement. Den or pack meetings have started by 10/31.</t>
  </si>
  <si>
    <t>Meet the Bronze level, plus pack committee meets at least six times a year. Dens meet at least twice a month during the school year.</t>
  </si>
  <si>
    <t>Meet the Silver level, plus earn the Summertime Pack Award.</t>
  </si>
  <si>
    <t>Introduce the SCOUTStrong program in the pack.</t>
  </si>
  <si>
    <t>Complete charter reregistration, obtain all signatures, and submit paperwork to the council office or your commissioner prior to the expiration of your charter.</t>
  </si>
  <si>
    <t>Meet the Bronze level, plus email addresses are provided for all parents of youth members and registered adults who have one.</t>
  </si>
  <si>
    <t>If there are Tiger Dens, how many times do they meet a month during school year? (enter 0 if no dens)</t>
  </si>
  <si>
    <t>If there are Wolf Dens, how many times do they meet a month during  school year? (enter 0 if no dens)</t>
  </si>
  <si>
    <t>If there are Bear Dens, how many times do they meet a month during school year? (enter 0 if no dens)</t>
  </si>
  <si>
    <t>If there are First Year Webelos Dens, how many times do they meet a month during school year? (enter 0 if no dens)</t>
  </si>
  <si>
    <t>If there are Second Year Webelos Dens, how many times do they meet a month during school year? (enter 0 if no dens)</t>
  </si>
  <si>
    <t>Scouts in pack</t>
  </si>
  <si>
    <t>Den Mtgs/month during school</t>
  </si>
  <si>
    <t>SCOUTStrong Introduced</t>
  </si>
  <si>
    <t>How many committee members are currently registered in the pack?</t>
  </si>
  <si>
    <t>Has the Cubmaster completed Basic Leader Training (Y/N)?</t>
  </si>
  <si>
    <t>Have all the Den Leaders completed Basic Leader Training (Y/N)?</t>
  </si>
  <si>
    <t>How many of the registered committee members have completed Basic Leader Training?</t>
  </si>
  <si>
    <t>Has the pack invited a commissioner to at least one meeting?</t>
  </si>
  <si>
    <t>Has the pack invited it's COR to at least one meeting?</t>
  </si>
  <si>
    <t>Achieve Bronze, plus the Cubmaster and den leaders have completed basic leader training or, if new, will complete within three months of joining.</t>
  </si>
  <si>
    <t>Achieve Silver, plus two-thirds of active committee members must have completed basic leader training.</t>
  </si>
  <si>
    <t>COR invited to meeting</t>
  </si>
  <si>
    <t>Commissioner invited to mtg</t>
  </si>
  <si>
    <t>Achieve Silver, plus promote the MyScouting Tools accessed through your MyScouting account and invite a commissioner and your COR to at least one meeting.</t>
  </si>
  <si>
    <t>How many total Cub Scouts were on the pack's roster as of Jan. 1, 2014?</t>
  </si>
  <si>
    <t>How many 2nd year Webelos on the roster on 1/1/14 will bridge or age out by 12/31/14?</t>
  </si>
  <si>
    <t>What percentage of Cub Scouts advanced in 2013? (Do not include the % sign)</t>
  </si>
  <si>
    <t>How many Cubs Scouts from 2013 did not reregister for 2014?</t>
  </si>
  <si>
    <t>What was the percentage of Cub Scouts retained from 2013 JTE?</t>
  </si>
  <si>
    <t>What percentage of Cub Scouts attended a summer camp in 2013? (do not include the % sign)</t>
  </si>
  <si>
    <t>How many total Cub Scouts were in the pack on 6/30/2014?</t>
  </si>
  <si>
    <t>How many new Cub Scouts has the pack recruited so far in 2014?</t>
  </si>
  <si>
    <t>Did the Pack hold its fall recruitment by 9/30/14 (Y/N)?</t>
  </si>
  <si>
    <t>How many Cub Scouts have earned a rank advancement so far in 2014?</t>
  </si>
  <si>
    <t>How many outdoor activities has the pack done so far in 2014?</t>
  </si>
  <si>
    <t>How many different  Cub Scouts attended either a Day Camp, Family Camp or Resident Camp in 2014?</t>
  </si>
  <si>
    <t>Has the Pack earned the Summertime Pack Award in 2014?</t>
  </si>
  <si>
    <t>How many service projects has the Pack done so far in 2014?</t>
  </si>
  <si>
    <t>Were the den and pack leaders for 2014-2015 identified by 5/31/14 (Y/N)?</t>
  </si>
  <si>
    <t>Was every Pack leadership position filled by 10/15/14 (Y/N)?</t>
  </si>
  <si>
    <t>How many activities has the Pack done with a Troop so far in 2014?</t>
  </si>
  <si>
    <t>How many second year Webelos registered with a Boy Scout Troop in 2014?</t>
  </si>
  <si>
    <t>Was a written budget for 2014-2015 program year completed by end of current program year (Y/N)?</t>
  </si>
  <si>
    <t>Did the Pack start their den and pack meetings prior to 10/31/14(Y/N)?</t>
  </si>
  <si>
    <t>How many pack meetings has the pack held so far in 2014?</t>
  </si>
  <si>
    <t>How many times has the pack committee met so far in 2014?</t>
  </si>
  <si>
    <t>Met</t>
  </si>
  <si>
    <t>Needed</t>
  </si>
  <si>
    <r>
      <t>How many total Cub Scouts were on the pack's roster as of</t>
    </r>
    <r>
      <rPr>
        <b/>
        <sz val="11"/>
        <color theme="1"/>
        <rFont val="Calibri"/>
        <family val="2"/>
        <scheme val="minor"/>
      </rPr>
      <t xml:space="preserve"> Jan. 1, 2013 (previous year)</t>
    </r>
    <r>
      <rPr>
        <sz val="11"/>
        <color theme="1"/>
        <rFont val="Calibri"/>
        <family val="2"/>
        <scheme val="minor"/>
      </rPr>
      <t>?</t>
    </r>
  </si>
  <si>
    <t>Coming years pack/den leadership in place by 5/31/14</t>
  </si>
  <si>
    <t>Fall recruitment by 9/30/14</t>
  </si>
  <si>
    <t>Every leadership position filled by 10/15/14</t>
  </si>
  <si>
    <t>Active Den Chief</t>
  </si>
  <si>
    <t>Is there at least one active Den Chief currently working with the Pack (Y/N)?</t>
  </si>
  <si>
    <t>All Pack an Den meetings have started by 10/31/14</t>
  </si>
  <si>
    <t>How many Cub Scouts transferred out of your pack to another so far in 2014?</t>
  </si>
  <si>
    <t>% retained vs previous year</t>
  </si>
  <si>
    <t>Scouts</t>
  </si>
  <si>
    <t>Did the pack complete their 2015 annual registration prior to the 2014 charter expiration date (Y/N)?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</si>
</sst>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rgb="FFFFFF00"/>
      <name val="Calibri"/>
      <family val="2"/>
      <scheme val="minor"/>
    </font>
    <font>
      <sz val="11"/>
      <color rgb="FFFF000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indexed="8"/>
      <name val="Calibri"/>
    </font>
    <font>
      <sz val="14"/>
      <color indexed="8"/>
      <name val="Calibri"/>
    </font>
    <font>
      <sz val="12"/>
      <color indexed="8"/>
      <name val="Calibri"/>
      <family val="2"/>
    </font>
    <font>
      <b/>
      <sz val="10"/>
      <color indexed="8"/>
      <name val="Calibri"/>
      <family val="2"/>
    </font>
    <font>
      <b/>
      <sz val="12"/>
      <color indexed="8"/>
      <name val="Calibri"/>
      <family val="2"/>
    </font>
    <font>
      <sz val="7"/>
      <color indexed="8"/>
      <name val="Calibri"/>
      <family val="2"/>
    </font>
    <font>
      <sz val="10"/>
      <color indexed="8"/>
      <name val="Calibri"/>
      <family val="2"/>
    </font>
    <font>
      <sz val="11"/>
      <color indexed="8"/>
      <name val="Calibri"/>
      <family val="2"/>
      <scheme val="minor"/>
    </font>
    <font>
      <sz val="18"/>
      <color rgb="FFFFFF00"/>
      <name val="Calibri"/>
      <family val="2"/>
      <scheme val="minor"/>
    </font>
    <font>
      <sz val="11"/>
      <color indexed="8"/>
      <name val="Calibri"/>
      <family val="2"/>
    </font>
    <font>
      <sz val="16"/>
      <color indexed="8"/>
      <name val="Calibri"/>
      <family val="2"/>
    </font>
    <font>
      <sz val="14"/>
      <color indexed="8"/>
      <name val="Calibri"/>
      <family val="2"/>
    </font>
    <font>
      <sz val="9"/>
      <color indexed="81"/>
      <name val="Tahoma"/>
      <charset val="1"/>
    </font>
    <font>
      <b/>
      <sz val="9"/>
      <color indexed="81"/>
      <name val="Tahoma"/>
      <charset val="1"/>
    </font>
  </fonts>
  <fills count="15">
    <fill>
      <patternFill patternType="none"/>
    </fill>
    <fill>
      <patternFill patternType="gray125"/>
    </fill>
    <fill>
      <patternFill patternType="solid">
        <fgColor theme="2" tint="-0.499984740745262"/>
        <bgColor indexed="64"/>
      </patternFill>
    </fill>
    <fill>
      <patternFill patternType="solid">
        <fgColor theme="0" tint="-0.249977111117893"/>
        <bgColor indexed="64"/>
      </patternFill>
    </fill>
    <fill>
      <patternFill patternType="solid">
        <fgColor rgb="FFBB9D2D"/>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bgColor indexed="64"/>
      </patternFill>
    </fill>
    <fill>
      <patternFill patternType="solid">
        <fgColor theme="4"/>
        <bgColor indexed="64"/>
      </patternFill>
    </fill>
    <fill>
      <patternFill patternType="solid">
        <fgColor theme="3" tint="0.59996337778862885"/>
        <bgColor indexed="64"/>
      </patternFill>
    </fill>
    <fill>
      <patternFill patternType="solid">
        <fgColor rgb="FFCC9900"/>
        <bgColor indexed="64"/>
      </patternFill>
    </fill>
    <fill>
      <patternFill patternType="solid">
        <fgColor theme="0" tint="-0.14999847407452621"/>
        <bgColor indexed="64"/>
      </patternFill>
    </fill>
    <fill>
      <patternFill patternType="solid">
        <fgColor rgb="FFDDD925"/>
        <bgColor indexed="64"/>
      </patternFill>
    </fill>
    <fill>
      <patternFill patternType="solid">
        <fgColor theme="8" tint="0.39997558519241921"/>
        <bgColor indexed="64"/>
      </patternFill>
    </fill>
    <fill>
      <patternFill patternType="solid">
        <fgColor theme="3" tint="0.59999389629810485"/>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126">
    <xf numFmtId="0" fontId="0" fillId="0" borderId="0" xfId="0"/>
    <xf numFmtId="0" fontId="0" fillId="0" borderId="0" xfId="0" applyAlignment="1">
      <alignment horizontal="center"/>
    </xf>
    <xf numFmtId="0" fontId="0" fillId="0" borderId="0" xfId="0" applyAlignment="1">
      <alignment horizontal="center"/>
    </xf>
    <xf numFmtId="0" fontId="0" fillId="3" borderId="0" xfId="0" applyFill="1" applyAlignment="1">
      <alignment horizontal="center"/>
    </xf>
    <xf numFmtId="0" fontId="0" fillId="0" borderId="0" xfId="0" applyAlignment="1">
      <alignment horizontal="right"/>
    </xf>
    <xf numFmtId="0" fontId="0" fillId="2" borderId="0" xfId="0" applyFill="1" applyAlignment="1">
      <alignment horizontal="center"/>
    </xf>
    <xf numFmtId="0" fontId="0" fillId="4" borderId="0" xfId="0" applyFill="1" applyAlignment="1">
      <alignment horizontal="center"/>
    </xf>
    <xf numFmtId="0" fontId="0" fillId="0" borderId="0" xfId="0" applyFill="1" applyAlignment="1"/>
    <xf numFmtId="0" fontId="0" fillId="0" borderId="0" xfId="0" applyFill="1" applyBorder="1" applyAlignment="1"/>
    <xf numFmtId="0" fontId="0" fillId="0" borderId="0" xfId="0" applyFill="1" applyAlignment="1">
      <alignment horizontal="center"/>
    </xf>
    <xf numFmtId="0" fontId="0" fillId="0" borderId="4" xfId="0" applyBorder="1" applyAlignment="1">
      <alignment horizontal="center"/>
    </xf>
    <xf numFmtId="0" fontId="0" fillId="0" borderId="4" xfId="0" applyBorder="1"/>
    <xf numFmtId="0" fontId="0" fillId="0" borderId="7" xfId="0" applyBorder="1" applyAlignment="1">
      <alignment horizontal="center"/>
    </xf>
    <xf numFmtId="0" fontId="0" fillId="6" borderId="0" xfId="0" applyFill="1" applyAlignment="1">
      <alignment horizontal="right"/>
    </xf>
    <xf numFmtId="0" fontId="0" fillId="6" borderId="0" xfId="0" applyFill="1"/>
    <xf numFmtId="0" fontId="0" fillId="6" borderId="0" xfId="0" applyFill="1" applyAlignment="1">
      <alignment horizontal="center"/>
    </xf>
    <xf numFmtId="0" fontId="0" fillId="7" borderId="0" xfId="0" applyFill="1" applyAlignment="1">
      <alignment horizontal="center"/>
    </xf>
    <xf numFmtId="14" fontId="0" fillId="0" borderId="0" xfId="0" applyNumberFormat="1" applyAlignment="1">
      <alignment horizontal="center"/>
    </xf>
    <xf numFmtId="0" fontId="0" fillId="5" borderId="0" xfId="0" applyFill="1" applyAlignment="1" applyProtection="1">
      <alignment horizontal="center"/>
      <protection locked="0"/>
    </xf>
    <xf numFmtId="0" fontId="0" fillId="0" borderId="0" xfId="0" applyFill="1" applyBorder="1" applyAlignment="1">
      <alignment horizontal="center"/>
    </xf>
    <xf numFmtId="0" fontId="0" fillId="0" borderId="0" xfId="0" applyAlignment="1">
      <alignment horizontal="center"/>
    </xf>
    <xf numFmtId="0" fontId="0" fillId="5" borderId="10" xfId="0" applyFill="1" applyBorder="1" applyAlignment="1" applyProtection="1">
      <alignment horizontal="center"/>
      <protection locked="0"/>
    </xf>
    <xf numFmtId="14" fontId="0" fillId="5" borderId="0" xfId="0" applyNumberFormat="1" applyFill="1" applyAlignment="1" applyProtection="1">
      <alignment horizontal="center"/>
      <protection locked="0"/>
    </xf>
    <xf numFmtId="0" fontId="0" fillId="0" borderId="0" xfId="0" applyAlignment="1">
      <alignment horizontal="center"/>
    </xf>
    <xf numFmtId="0" fontId="0" fillId="9" borderId="0" xfId="0" applyFill="1"/>
    <xf numFmtId="0" fontId="5" fillId="0" borderId="0" xfId="0" applyFont="1"/>
    <xf numFmtId="0" fontId="0" fillId="0" borderId="0" xfId="0" applyAlignment="1">
      <alignment horizontal="center"/>
    </xf>
    <xf numFmtId="0" fontId="0" fillId="0" borderId="0" xfId="0" applyFill="1"/>
    <xf numFmtId="0" fontId="0" fillId="10" borderId="0" xfId="0" applyFill="1" applyAlignment="1">
      <alignment horizontal="center"/>
    </xf>
    <xf numFmtId="0" fontId="0" fillId="11" borderId="0" xfId="0" applyFill="1" applyAlignment="1">
      <alignment horizontal="center"/>
    </xf>
    <xf numFmtId="0" fontId="1" fillId="0" borderId="0" xfId="0" applyFont="1"/>
    <xf numFmtId="0" fontId="0" fillId="0" borderId="0" xfId="0" applyAlignment="1">
      <alignment horizontal="center"/>
    </xf>
    <xf numFmtId="0" fontId="0" fillId="10" borderId="0" xfId="0" applyFill="1" applyAlignment="1">
      <alignment horizontal="center"/>
    </xf>
    <xf numFmtId="0" fontId="0" fillId="11" borderId="0" xfId="0" applyFill="1" applyAlignment="1">
      <alignment horizontal="center"/>
    </xf>
    <xf numFmtId="0" fontId="1" fillId="0" borderId="0" xfId="0" applyFont="1" applyAlignment="1">
      <alignment horizontal="center"/>
    </xf>
    <xf numFmtId="0" fontId="0" fillId="12" borderId="0" xfId="0" applyFill="1" applyAlignment="1">
      <alignment horizontal="center"/>
    </xf>
    <xf numFmtId="0" fontId="0" fillId="0" borderId="0" xfId="0"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8" fillId="0" borderId="0" xfId="0" applyFont="1" applyAlignment="1">
      <alignment horizontal="center" wrapText="1"/>
    </xf>
    <xf numFmtId="0" fontId="1" fillId="0" borderId="0" xfId="0" applyFont="1" applyAlignment="1">
      <alignment horizontal="center" vertical="center"/>
    </xf>
    <xf numFmtId="0" fontId="7" fillId="0" borderId="0" xfId="0" applyFont="1"/>
    <xf numFmtId="0" fontId="0" fillId="0" borderId="0" xfId="0"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top" wrapText="1"/>
    </xf>
    <xf numFmtId="0" fontId="0" fillId="0" borderId="0" xfId="0" applyAlignment="1">
      <alignment horizontal="center"/>
    </xf>
    <xf numFmtId="0" fontId="12" fillId="0" borderId="5" xfId="0" applyFont="1" applyBorder="1" applyAlignment="1">
      <alignment vertical="center" wrapText="1"/>
    </xf>
    <xf numFmtId="0" fontId="11"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0" xfId="0" applyFont="1" applyAlignment="1">
      <alignment horizontal="righ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5" fillId="0" borderId="1" xfId="0" applyFont="1" applyBorder="1" applyAlignment="1">
      <alignment horizontal="center" vertical="center"/>
    </xf>
    <xf numFmtId="0" fontId="0" fillId="5" borderId="10" xfId="0" applyFill="1" applyBorder="1" applyAlignment="1" applyProtection="1">
      <alignment horizontal="left"/>
      <protection locked="0"/>
    </xf>
    <xf numFmtId="0" fontId="0" fillId="0" borderId="0" xfId="0" applyAlignment="1">
      <alignment horizontal="center"/>
    </xf>
    <xf numFmtId="0" fontId="13"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0" xfId="0" applyAlignment="1">
      <alignment horizontal="center"/>
    </xf>
    <xf numFmtId="0" fontId="0" fillId="0" borderId="0" xfId="0" applyProtection="1"/>
    <xf numFmtId="0" fontId="0" fillId="11" borderId="0" xfId="0" applyFill="1" applyAlignment="1">
      <alignment horizontal="center"/>
    </xf>
    <xf numFmtId="0" fontId="1" fillId="0" borderId="0" xfId="0" applyFont="1" applyFill="1"/>
    <xf numFmtId="0" fontId="6" fillId="0" borderId="0" xfId="0" applyFont="1" applyFill="1"/>
    <xf numFmtId="0" fontId="0" fillId="11" borderId="0" xfId="0" applyFill="1" applyAlignment="1">
      <alignment horizontal="center"/>
    </xf>
    <xf numFmtId="0" fontId="0" fillId="0" borderId="0" xfId="0" applyAlignment="1">
      <alignment horizontal="center" vertical="center"/>
    </xf>
    <xf numFmtId="0" fontId="0" fillId="12" borderId="0" xfId="0" applyFill="1" applyAlignment="1">
      <alignment horizontal="center"/>
    </xf>
    <xf numFmtId="0" fontId="0" fillId="11" borderId="0" xfId="0" applyFill="1" applyAlignment="1">
      <alignment horizontal="center"/>
    </xf>
    <xf numFmtId="0" fontId="0" fillId="0" borderId="0" xfId="0" applyAlignment="1">
      <alignment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xf>
    <xf numFmtId="0" fontId="1" fillId="0" borderId="11" xfId="0" applyFont="1" applyBorder="1" applyAlignment="1">
      <alignment horizontal="center"/>
    </xf>
    <xf numFmtId="0" fontId="0" fillId="0" borderId="0" xfId="0" applyAlignment="1">
      <alignment horizontal="center"/>
    </xf>
    <xf numFmtId="0" fontId="17" fillId="8" borderId="0" xfId="0" applyFont="1" applyFill="1" applyAlignment="1">
      <alignment horizontal="center"/>
    </xf>
    <xf numFmtId="0" fontId="1" fillId="0" borderId="0" xfId="0" applyFont="1" applyAlignment="1">
      <alignment horizontal="center" vertic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8" fillId="0" borderId="0" xfId="0" applyFont="1" applyAlignment="1">
      <alignment horizontal="center" wrapText="1"/>
    </xf>
    <xf numFmtId="0" fontId="0" fillId="13" borderId="0" xfId="0" applyFill="1" applyAlignment="1">
      <alignment horizontal="center"/>
    </xf>
    <xf numFmtId="0" fontId="8" fillId="0" borderId="0" xfId="0" applyFont="1" applyAlignment="1">
      <alignment horizontal="left" wrapText="1"/>
    </xf>
    <xf numFmtId="0" fontId="0" fillId="0" borderId="0" xfId="0" applyAlignment="1">
      <alignment horizontal="left" wrapText="1"/>
    </xf>
    <xf numFmtId="0" fontId="0" fillId="0" borderId="0" xfId="0" applyAlignment="1">
      <alignment horizontal="center" vertical="center"/>
    </xf>
    <xf numFmtId="0" fontId="17" fillId="14" borderId="0" xfId="0" applyFont="1" applyFill="1" applyAlignment="1">
      <alignment horizontal="center" vertical="center"/>
    </xf>
    <xf numFmtId="0" fontId="0" fillId="0" borderId="0" xfId="0" applyAlignment="1">
      <alignment horizontal="center"/>
    </xf>
    <xf numFmtId="0" fontId="4" fillId="8" borderId="0" xfId="0" applyFont="1" applyFill="1" applyAlignment="1">
      <alignment horizont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4" fillId="0" borderId="3" xfId="0" applyFont="1" applyBorder="1" applyAlignment="1">
      <alignment horizontal="left" vertical="top"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4" fillId="0" borderId="1" xfId="0" applyNumberFormat="1" applyFont="1" applyBorder="1" applyAlignment="1">
      <alignment horizontal="center" vertical="top" wrapText="1"/>
    </xf>
    <xf numFmtId="0" fontId="14" fillId="0" borderId="2" xfId="0" applyNumberFormat="1" applyFont="1" applyBorder="1" applyAlignment="1">
      <alignment horizontal="center"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0" xfId="0" applyFont="1" applyAlignment="1">
      <alignment horizontal="left"/>
    </xf>
    <xf numFmtId="0" fontId="19" fillId="0" borderId="4" xfId="0" applyFont="1" applyBorder="1" applyAlignment="1">
      <alignment horizontal="center" vertical="center" wrapText="1"/>
    </xf>
    <xf numFmtId="0" fontId="14" fillId="0" borderId="1" xfId="0" applyFont="1" applyFill="1" applyBorder="1" applyAlignment="1">
      <alignment horizontal="center" vertical="top" wrapText="1"/>
    </xf>
    <xf numFmtId="0" fontId="14" fillId="0" borderId="2" xfId="0" applyFont="1" applyFill="1" applyBorder="1" applyAlignment="1">
      <alignment horizontal="center" vertical="top"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8" fillId="0" borderId="0" xfId="0" applyFont="1" applyAlignment="1">
      <alignment horizontal="left" vertical="top" wrapText="1"/>
    </xf>
    <xf numFmtId="0" fontId="18" fillId="0" borderId="9"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DDD925"/>
      <color rgb="FFCC9900"/>
      <color rgb="FFBB9D2D"/>
      <color rgb="FFA39C4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504825</xdr:colOff>
      <xdr:row>3</xdr:row>
      <xdr:rowOff>9525</xdr:rowOff>
    </xdr:to>
    <xdr:sp macro="" textlink="">
      <xdr:nvSpPr>
        <xdr:cNvPr id="2" name="TextBox 1"/>
        <xdr:cNvSpPr txBox="1"/>
      </xdr:nvSpPr>
      <xdr:spPr>
        <a:xfrm>
          <a:off x="28575" y="0"/>
          <a:ext cx="9010650" cy="581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aseline="0" smtClean="0">
              <a:solidFill>
                <a:schemeClr val="dk1"/>
              </a:solidFill>
              <a:latin typeface="+mn-lt"/>
              <a:ea typeface="+mn-ea"/>
              <a:cs typeface="+mn-cs"/>
            </a:rPr>
            <a:t> </a:t>
          </a:r>
          <a:r>
            <a:rPr lang="en-US" sz="1600" b="1" baseline="0" smtClean="0">
              <a:solidFill>
                <a:srgbClr val="FFFF00"/>
              </a:solidFill>
              <a:latin typeface="+mn-lt"/>
              <a:ea typeface="+mn-ea"/>
              <a:cs typeface="+mn-cs"/>
            </a:rPr>
            <a:t>Scouting's Journey to Excellence	</a:t>
          </a:r>
        </a:p>
        <a:p>
          <a:pPr algn="ctr"/>
          <a:r>
            <a:rPr lang="en-US" sz="160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twoCellAnchor>
    <xdr:from>
      <xdr:col>0</xdr:col>
      <xdr:colOff>28575</xdr:colOff>
      <xdr:row>3</xdr:row>
      <xdr:rowOff>9522</xdr:rowOff>
    </xdr:from>
    <xdr:to>
      <xdr:col>14</xdr:col>
      <xdr:colOff>542925</xdr:colOff>
      <xdr:row>61</xdr:row>
      <xdr:rowOff>180975</xdr:rowOff>
    </xdr:to>
    <xdr:sp macro="" textlink="">
      <xdr:nvSpPr>
        <xdr:cNvPr id="3" name="TextBox 2"/>
        <xdr:cNvSpPr txBox="1"/>
      </xdr:nvSpPr>
      <xdr:spPr>
        <a:xfrm>
          <a:off x="28575" y="581022"/>
          <a:ext cx="9048750" cy="1122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a:t>Instructions</a:t>
          </a:r>
        </a:p>
        <a:p>
          <a:r>
            <a:rPr lang="en-US" sz="1100" u="sng"/>
            <a:t>Introduction</a:t>
          </a:r>
        </a:p>
        <a:p>
          <a:endParaRPr lang="en-US" sz="1100"/>
        </a:p>
        <a:p>
          <a:r>
            <a:rPr lang="en-US" sz="1100"/>
            <a:t>The</a:t>
          </a:r>
          <a:r>
            <a:rPr lang="en-US" sz="1100" baseline="0"/>
            <a:t>re are 6 worksheets contained within this workbook:</a:t>
          </a:r>
        </a:p>
        <a:p>
          <a:r>
            <a:rPr lang="en-US" sz="1100" baseline="0"/>
            <a:t>1) Instructions - the sheet you are reading now</a:t>
          </a:r>
        </a:p>
        <a:p>
          <a:r>
            <a:rPr lang="en-US" sz="1100" baseline="0"/>
            <a:t>2) Start Up Questions - questions you should answer early in the year. </a:t>
          </a:r>
        </a:p>
        <a:p>
          <a:r>
            <a:rPr lang="en-US" sz="1100" baseline="0"/>
            <a:t>3) Current Questions - questions that you should answer throughout the course of the year on a regular basis.</a:t>
          </a:r>
        </a:p>
        <a:p>
          <a:r>
            <a:rPr lang="en-US" sz="1100" baseline="0"/>
            <a:t>4) Goals - this tells you what the current status is on each requirement , what needs done to reach each level and what the pack has achieved.</a:t>
          </a:r>
        </a:p>
        <a:p>
          <a:r>
            <a:rPr lang="en-US" sz="1100" baseline="0"/>
            <a:t>5) Scorecard - a snapshot of the points and levels the pack has earned to date</a:t>
          </a:r>
        </a:p>
        <a:p>
          <a:r>
            <a:rPr lang="en-US" sz="1100" baseline="0"/>
            <a:t>6) Assessment Form - a printable copy of the assessment form</a:t>
          </a:r>
        </a:p>
        <a:p>
          <a:endParaRPr lang="en-US" sz="1100" baseline="0"/>
        </a:p>
        <a:p>
          <a:r>
            <a:rPr lang="en-US" sz="1100" baseline="0"/>
            <a:t>The sheets listed in numbers 4, 5 and 6 will automatically change based on your answers to the Start Up and Current  Questions.</a:t>
          </a:r>
        </a:p>
        <a:p>
          <a:endParaRPr lang="en-US" sz="1100" baseline="0"/>
        </a:p>
        <a:p>
          <a:r>
            <a:rPr lang="en-US" sz="1100" baseline="0"/>
            <a:t>It is recommended that you copy the original workbook to a second worksheet named something like Pack nnn 2014 JTE (where nnn is the pack number) and use the newer copy for your data entry.</a:t>
          </a:r>
          <a:endParaRPr lang="en-US" sz="1100"/>
        </a:p>
        <a:p>
          <a:endParaRPr lang="en-US" sz="1100"/>
        </a:p>
        <a:p>
          <a:r>
            <a:rPr lang="en-US" sz="1100" u="sng"/>
            <a:t>Entering Data</a:t>
          </a:r>
        </a:p>
        <a:p>
          <a:endParaRPr lang="en-US" sz="1100" baseline="0"/>
        </a:p>
        <a:p>
          <a:r>
            <a:rPr lang="en-US" sz="1100" baseline="0"/>
            <a:t>1)  Open the workbook and click on the </a:t>
          </a:r>
          <a:r>
            <a:rPr lang="en-US" sz="1100" b="1" baseline="0"/>
            <a:t>Start Up Questions </a:t>
          </a:r>
          <a:r>
            <a:rPr lang="en-US" sz="1100" baseline="0"/>
            <a:t>tab.  The yellow boxes are the ones in which you will need to enter information about your pack.  Some yellow boxes have additional information. Move your cursor over each yellow box to see this information.   The answers you will provide here will probably not change much over the course of the year but it is good to review this sheet from time to time in order to ensure the answers are accurate.  It would be best to complete this sheet early in the year.</a:t>
          </a:r>
          <a:endParaRPr lang="en-US" sz="1100" b="1" i="0" baseline="0"/>
        </a:p>
        <a:p>
          <a:endParaRPr lang="en-US" sz="1100" baseline="0"/>
        </a:p>
        <a:p>
          <a:r>
            <a:rPr lang="en-US" sz="1100" baseline="0"/>
            <a:t>2) Click on the </a:t>
          </a:r>
          <a:r>
            <a:rPr lang="en-US" sz="1100" b="1" baseline="0"/>
            <a:t>Current Questions </a:t>
          </a:r>
          <a:r>
            <a:rPr lang="en-US" sz="1100" baseline="0"/>
            <a:t>tab.  This is where you will be entering data about your pack throughout most of the year.  It would be best to visit this page frequently to track membership, training and activity changes as they happen.</a:t>
          </a:r>
        </a:p>
        <a:p>
          <a:endParaRPr lang="en-US" sz="1100" baseline="0"/>
        </a:p>
        <a:p>
          <a:r>
            <a:rPr lang="en-US" sz="1100" baseline="0"/>
            <a:t>REMEMBER TO SAVE YOUR WORK AFTER CHANGING ONE OR MORE VALUES!</a:t>
          </a:r>
        </a:p>
        <a:p>
          <a:endParaRPr lang="en-US" sz="1100" baseline="0"/>
        </a:p>
        <a:p>
          <a:r>
            <a:rPr lang="en-US" sz="1100" baseline="0"/>
            <a:t>Note that Objective 9 (Webelos to Scout) is at the Bronze level by default.  This is because the requirements state this is met at a Bronze level if the pack has no Webelos Scouts.  Once you input that you have one or more Webelos Dens, this will change.</a:t>
          </a:r>
        </a:p>
        <a:p>
          <a:endParaRPr lang="en-US" sz="1100" baseline="0"/>
        </a:p>
        <a:p>
          <a:r>
            <a:rPr lang="en-US" sz="1100" baseline="0"/>
            <a:t>If there is any question as to the values to enter, consult the official JTE worksheets and instructions.</a:t>
          </a:r>
        </a:p>
        <a:p>
          <a:endParaRPr lang="en-US" sz="1100" baseline="0"/>
        </a:p>
        <a:p>
          <a:endParaRPr lang="en-US" sz="1100" baseline="0"/>
        </a:p>
        <a:p>
          <a:r>
            <a:rPr lang="en-US" sz="1100" u="sng" baseline="0"/>
            <a:t>Reading the worksheets</a:t>
          </a:r>
        </a:p>
        <a:p>
          <a:endParaRPr lang="en-US" sz="1100" baseline="0"/>
        </a:p>
        <a:p>
          <a:r>
            <a:rPr lang="en-US" sz="1100" b="1" baseline="0"/>
            <a:t>Goals</a:t>
          </a:r>
        </a:p>
        <a:p>
          <a:r>
            <a:rPr lang="en-US" sz="1100" baseline="0"/>
            <a:t>The </a:t>
          </a:r>
          <a:r>
            <a:rPr lang="en-US" sz="1100" b="1" baseline="0"/>
            <a:t>Goals</a:t>
          </a:r>
          <a:r>
            <a:rPr lang="en-US" sz="1100" baseline="0"/>
            <a:t> sheet provides a lot of information about your pack's Journey to Excellence.  Beside each objective there are 4 columns.  The Current column shows where your pack is current at based on your answers to the questions.  The Bronze, Silver and Gold columns either show the target you need to achieve or whether or not you have met a requirement for the level.  At the bottom of the page there is a summary listing how many objectives have not been met and how many have been met at each level.  Additionally, if you have met an objective, the level  you  have achieved is displayed under the objective title.</a:t>
          </a:r>
        </a:p>
        <a:p>
          <a:endParaRPr lang="en-US" sz="1100" baseline="0"/>
        </a:p>
        <a:p>
          <a:r>
            <a:rPr lang="en-US" sz="1100" b="1" baseline="0"/>
            <a:t>Scorecard</a:t>
          </a:r>
          <a:endParaRPr lang="en-US" sz="1100" baseline="0"/>
        </a:p>
        <a:p>
          <a:r>
            <a:rPr lang="en-US" sz="1100" baseline="0"/>
            <a:t>The </a:t>
          </a:r>
          <a:r>
            <a:rPr lang="en-US" sz="1100" b="1" baseline="0"/>
            <a:t>Scorecard </a:t>
          </a:r>
          <a:r>
            <a:rPr lang="en-US" sz="1100" baseline="0"/>
            <a:t>sheet shows </a:t>
          </a:r>
          <a:r>
            <a:rPr lang="en-US" sz="1100" baseline="0">
              <a:solidFill>
                <a:schemeClr val="dk1"/>
              </a:solidFill>
              <a:latin typeface="+mn-lt"/>
              <a:ea typeface="+mn-ea"/>
              <a:cs typeface="+mn-cs"/>
            </a:rPr>
            <a:t>you at a glance where you stand towards earning the JTE award.  The Objective Achieved column will contain a Yes if your pack has met the requirements for at least the Bronze level.  The number at the bottom of the column is the count of the number of objectives that have been met.   A pack must meet at least 10 of the objectives to be considered for the JTE award.</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The Level Achieved column will show the current level of the objective your pack has earned.  If "None" appears, your pack has not yet met the requirements to earn any of the levels.</a:t>
          </a:r>
          <a:endParaRPr lang="en-US"/>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Under each of the Bronze, Silver and Gold columns the points earned for each objective will be shown below the current level of the award your pack has earned.  The totals for each column will be shown under each column and the total of all columns will be shown below the Gold total.  If your pack has earned the JTE award, the level you have earned will be shown in the blue box at the bottom of the score sheet.</a:t>
          </a:r>
          <a:endParaRPr lang="en-US"/>
        </a:p>
        <a:p>
          <a:endParaRPr lang="en-US" sz="1100" baseline="0"/>
        </a:p>
        <a:p>
          <a:r>
            <a:rPr lang="en-US" sz="1100" b="1" baseline="0"/>
            <a:t>Assessment Form</a:t>
          </a:r>
        </a:p>
        <a:p>
          <a:r>
            <a:rPr lang="en-US" sz="1100" baseline="0"/>
            <a:t>This is a printer-ready version of the assessment form that will be updated as you answer your questions.  When you have completed the assessment for the charter period, this worksheet can be printed, signed and turned in with your rechartering materials.</a:t>
          </a:r>
        </a:p>
        <a:p>
          <a:endParaRPr lang="en-US" sz="1100" baseline="0"/>
        </a:p>
        <a:p>
          <a:r>
            <a:rPr lang="en-US" sz="1100" b="1" u="sng" baseline="0"/>
            <a:t>Disclaimers</a:t>
          </a:r>
        </a:p>
        <a:p>
          <a:r>
            <a:rPr lang="en-US" sz="1100" baseline="0"/>
            <a:t>This worksheet is a tool to help your pack track it's Journey To Excellence.  The official determination as to whether the award has been earned and at what level will be made by your local district and/or council.  </a:t>
          </a:r>
        </a:p>
        <a:p>
          <a:endParaRPr lang="en-US" sz="1100" baseline="0"/>
        </a:p>
        <a:p>
          <a:r>
            <a:rPr lang="en-US" sz="1100" baseline="0"/>
            <a:t>Please address any comments or questions regarding this workbook to srdeemer@msn.com.</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3</xdr:col>
      <xdr:colOff>0</xdr:colOff>
      <xdr:row>3</xdr:row>
      <xdr:rowOff>9525</xdr:rowOff>
    </xdr:to>
    <xdr:sp macro="" textlink="">
      <xdr:nvSpPr>
        <xdr:cNvPr id="2" name="TextBox 1"/>
        <xdr:cNvSpPr txBox="1"/>
      </xdr:nvSpPr>
      <xdr:spPr>
        <a:xfrm>
          <a:off x="1" y="0"/>
          <a:ext cx="7715249" cy="581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aseline="0" smtClean="0">
              <a:solidFill>
                <a:srgbClr val="FFFF00"/>
              </a:solidFill>
              <a:latin typeface="+mn-lt"/>
              <a:ea typeface="+mn-ea"/>
              <a:cs typeface="+mn-cs"/>
            </a:rPr>
            <a:t> </a:t>
          </a:r>
          <a:r>
            <a:rPr lang="en-US" sz="1600" b="1" baseline="0" smtClean="0">
              <a:solidFill>
                <a:srgbClr val="FFFF00"/>
              </a:solidFill>
              <a:latin typeface="+mn-lt"/>
              <a:ea typeface="+mn-ea"/>
              <a:cs typeface="+mn-cs"/>
            </a:rPr>
            <a:t>Scouting's Journey to Excellence	</a:t>
          </a:r>
        </a:p>
        <a:p>
          <a:pPr algn="ctr"/>
          <a:r>
            <a:rPr lang="en-US" sz="160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5734051</xdr:colOff>
      <xdr:row>3</xdr:row>
      <xdr:rowOff>9525</xdr:rowOff>
    </xdr:to>
    <xdr:sp macro="" textlink="">
      <xdr:nvSpPr>
        <xdr:cNvPr id="2" name="TextBox 1"/>
        <xdr:cNvSpPr txBox="1"/>
      </xdr:nvSpPr>
      <xdr:spPr>
        <a:xfrm>
          <a:off x="1" y="0"/>
          <a:ext cx="5734050" cy="581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aseline="0" smtClean="0">
              <a:solidFill>
                <a:srgbClr val="FFFF00"/>
              </a:solidFill>
              <a:latin typeface="+mn-lt"/>
              <a:ea typeface="+mn-ea"/>
              <a:cs typeface="+mn-cs"/>
            </a:rPr>
            <a:t> </a:t>
          </a:r>
          <a:r>
            <a:rPr lang="en-US" sz="1600" b="1" baseline="0" smtClean="0">
              <a:solidFill>
                <a:srgbClr val="FFFF00"/>
              </a:solidFill>
              <a:latin typeface="+mn-lt"/>
              <a:ea typeface="+mn-ea"/>
              <a:cs typeface="+mn-cs"/>
            </a:rPr>
            <a:t>Scouting's Journey to Excellence	</a:t>
          </a:r>
        </a:p>
        <a:p>
          <a:pPr algn="ctr"/>
          <a:r>
            <a:rPr lang="en-US" sz="160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twoCellAnchor>
    <xdr:from>
      <xdr:col>2</xdr:col>
      <xdr:colOff>47624</xdr:colOff>
      <xdr:row>26</xdr:row>
      <xdr:rowOff>28575</xdr:rowOff>
    </xdr:from>
    <xdr:to>
      <xdr:col>9</xdr:col>
      <xdr:colOff>38099</xdr:colOff>
      <xdr:row>33</xdr:row>
      <xdr:rowOff>85725</xdr:rowOff>
    </xdr:to>
    <xdr:sp macro="" textlink="">
      <xdr:nvSpPr>
        <xdr:cNvPr id="3" name="TextBox 2"/>
        <xdr:cNvSpPr txBox="1"/>
      </xdr:nvSpPr>
      <xdr:spPr>
        <a:xfrm>
          <a:off x="7524749" y="4981575"/>
          <a:ext cx="425767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that if Cubmaster and/or</a:t>
          </a:r>
          <a:r>
            <a:rPr lang="en-US" sz="1100" baseline="0"/>
            <a:t> Den Leader(s) are new, they have a 90 day grace period to complete the Leader Specific Training to qualify for the training objective at the silver level.</a:t>
          </a:r>
        </a:p>
        <a:p>
          <a:endParaRPr lang="en-US" sz="1100" baseline="0"/>
        </a:p>
        <a:p>
          <a:r>
            <a:rPr lang="en-US" sz="1100" baseline="0"/>
            <a:t>On your honor, you may answer with a Y to the completed training questions if leaders will complete their training within the stated grace period.</a:t>
          </a:r>
          <a:endParaRPr lang="en-US" sz="1100"/>
        </a:p>
      </xdr:txBody>
    </xdr:sp>
    <xdr:clientData/>
  </xdr:twoCellAnchor>
  <xdr:twoCellAnchor>
    <xdr:from>
      <xdr:col>2</xdr:col>
      <xdr:colOff>47625</xdr:colOff>
      <xdr:row>66</xdr:row>
      <xdr:rowOff>171451</xdr:rowOff>
    </xdr:from>
    <xdr:to>
      <xdr:col>8</xdr:col>
      <xdr:colOff>266700</xdr:colOff>
      <xdr:row>68</xdr:row>
      <xdr:rowOff>38101</xdr:rowOff>
    </xdr:to>
    <xdr:sp macro="" textlink="">
      <xdr:nvSpPr>
        <xdr:cNvPr id="4" name="TextBox 3"/>
        <xdr:cNvSpPr txBox="1"/>
      </xdr:nvSpPr>
      <xdr:spPr>
        <a:xfrm>
          <a:off x="7524750" y="12553951"/>
          <a:ext cx="387667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Only</a:t>
          </a:r>
          <a:r>
            <a:rPr lang="en-US" sz="1100" baseline="0"/>
            <a:t> required for those who have an email address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200024</xdr:colOff>
      <xdr:row>0</xdr:row>
      <xdr:rowOff>1</xdr:rowOff>
    </xdr:from>
    <xdr:to>
      <xdr:col>16</xdr:col>
      <xdr:colOff>1695449</xdr:colOff>
      <xdr:row>3</xdr:row>
      <xdr:rowOff>1</xdr:rowOff>
    </xdr:to>
    <xdr:sp macro="" textlink="">
      <xdr:nvSpPr>
        <xdr:cNvPr id="2" name="TextBox 1"/>
        <xdr:cNvSpPr txBox="1"/>
      </xdr:nvSpPr>
      <xdr:spPr>
        <a:xfrm>
          <a:off x="200024" y="1"/>
          <a:ext cx="10106025" cy="5715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aseline="0" smtClean="0">
              <a:solidFill>
                <a:srgbClr val="FFFF00"/>
              </a:solidFill>
              <a:latin typeface="+mn-lt"/>
              <a:ea typeface="+mn-ea"/>
              <a:cs typeface="+mn-cs"/>
            </a:rPr>
            <a:t> </a:t>
          </a:r>
          <a:r>
            <a:rPr lang="en-US" sz="1600" b="1" baseline="0" smtClean="0">
              <a:solidFill>
                <a:srgbClr val="FFFF00"/>
              </a:solidFill>
              <a:latin typeface="+mn-lt"/>
              <a:ea typeface="+mn-ea"/>
              <a:cs typeface="+mn-cs"/>
            </a:rPr>
            <a:t>Scouting's Journey to Excellence	</a:t>
          </a:r>
        </a:p>
        <a:p>
          <a:pPr algn="ctr"/>
          <a:r>
            <a:rPr lang="en-US" sz="160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76200</xdr:rowOff>
    </xdr:from>
    <xdr:to>
      <xdr:col>10</xdr:col>
      <xdr:colOff>600074</xdr:colOff>
      <xdr:row>3</xdr:row>
      <xdr:rowOff>85725</xdr:rowOff>
    </xdr:to>
    <xdr:sp macro="" textlink="">
      <xdr:nvSpPr>
        <xdr:cNvPr id="2" name="TextBox 1"/>
        <xdr:cNvSpPr txBox="1"/>
      </xdr:nvSpPr>
      <xdr:spPr>
        <a:xfrm>
          <a:off x="9525" y="76200"/>
          <a:ext cx="6286499" cy="581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aseline="0" smtClean="0">
              <a:solidFill>
                <a:schemeClr val="dk1"/>
              </a:solidFill>
              <a:latin typeface="+mn-lt"/>
              <a:ea typeface="+mn-ea"/>
              <a:cs typeface="+mn-cs"/>
            </a:rPr>
            <a:t> </a:t>
          </a:r>
          <a:r>
            <a:rPr lang="en-US" sz="1600" b="1" baseline="0" smtClean="0">
              <a:solidFill>
                <a:srgbClr val="FFFF00"/>
              </a:solidFill>
              <a:latin typeface="+mn-lt"/>
              <a:ea typeface="+mn-ea"/>
              <a:cs typeface="+mn-cs"/>
            </a:rPr>
            <a:t>Scouting's Journey to Excellence	</a:t>
          </a:r>
        </a:p>
        <a:p>
          <a:pPr algn="ctr"/>
          <a:r>
            <a:rPr lang="en-US" sz="160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142876</xdr:colOff>
      <xdr:row>0</xdr:row>
      <xdr:rowOff>0</xdr:rowOff>
    </xdr:from>
    <xdr:to>
      <xdr:col>7</xdr:col>
      <xdr:colOff>295275</xdr:colOff>
      <xdr:row>1</xdr:row>
      <xdr:rowOff>152400</xdr:rowOff>
    </xdr:to>
    <xdr:sp macro="" textlink="">
      <xdr:nvSpPr>
        <xdr:cNvPr id="2" name="TextBox 1"/>
        <xdr:cNvSpPr txBox="1"/>
      </xdr:nvSpPr>
      <xdr:spPr>
        <a:xfrm>
          <a:off x="142876" y="0"/>
          <a:ext cx="6686549" cy="3905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050" baseline="0" smtClean="0">
              <a:solidFill>
                <a:srgbClr val="FFFF00"/>
              </a:solidFill>
              <a:latin typeface="+mn-lt"/>
              <a:ea typeface="+mn-ea"/>
              <a:cs typeface="+mn-cs"/>
            </a:rPr>
            <a:t> </a:t>
          </a:r>
          <a:r>
            <a:rPr lang="en-US" sz="1050" b="1" baseline="0" smtClean="0">
              <a:solidFill>
                <a:srgbClr val="FFFF00"/>
              </a:solidFill>
              <a:latin typeface="+mn-lt"/>
              <a:ea typeface="+mn-ea"/>
              <a:cs typeface="+mn-cs"/>
            </a:rPr>
            <a:t>Scouting's Journey to Excellence	</a:t>
          </a:r>
        </a:p>
        <a:p>
          <a:pPr algn="ctr"/>
          <a:r>
            <a:rPr lang="en-US" sz="1050" b="1" baseline="0" smtClean="0">
              <a:solidFill>
                <a:srgbClr val="FFFF00"/>
              </a:solidFill>
              <a:latin typeface="+mn-lt"/>
              <a:ea typeface="+mn-ea"/>
              <a:cs typeface="+mn-cs"/>
            </a:rPr>
            <a:t>2014 Pack Performance Recognition Program</a:t>
          </a:r>
          <a:r>
            <a:rPr lang="en-US" sz="1100" b="1" baseline="0" smtClean="0">
              <a:solidFill>
                <a:schemeClr val="dk1"/>
              </a:solidFill>
              <a:latin typeface="+mn-lt"/>
              <a:ea typeface="+mn-ea"/>
              <a:cs typeface="+mn-cs"/>
            </a:rPr>
            <a:t>	</a:t>
          </a:r>
        </a:p>
        <a:p>
          <a:pPr algn="ctr"/>
          <a:endParaRPr lang="en-US" sz="1100"/>
        </a:p>
      </xdr:txBody>
    </xdr:sp>
    <xdr:clientData/>
  </xdr:twoCellAnchor>
  <xdr:twoCellAnchor>
    <xdr:from>
      <xdr:col>0</xdr:col>
      <xdr:colOff>76201</xdr:colOff>
      <xdr:row>33</xdr:row>
      <xdr:rowOff>0</xdr:rowOff>
    </xdr:from>
    <xdr:to>
      <xdr:col>4</xdr:col>
      <xdr:colOff>304800</xdr:colOff>
      <xdr:row>38</xdr:row>
      <xdr:rowOff>0</xdr:rowOff>
    </xdr:to>
    <xdr:sp macro="" textlink="">
      <xdr:nvSpPr>
        <xdr:cNvPr id="3" name="TextBox 2"/>
        <xdr:cNvSpPr txBox="1"/>
      </xdr:nvSpPr>
      <xdr:spPr>
        <a:xfrm>
          <a:off x="76201" y="8410575"/>
          <a:ext cx="4733924"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aseline="0" smtClean="0">
              <a:solidFill>
                <a:schemeClr val="dk1"/>
              </a:solidFill>
              <a:latin typeface="+mn-lt"/>
              <a:ea typeface="+mn-ea"/>
              <a:cs typeface="+mn-cs"/>
            </a:rPr>
            <a:t/>
          </a:r>
          <a:br>
            <a:rPr lang="en-US" sz="1100" baseline="0" smtClean="0">
              <a:solidFill>
                <a:schemeClr val="dk1"/>
              </a:solidFill>
              <a:latin typeface="+mn-lt"/>
              <a:ea typeface="+mn-ea"/>
              <a:cs typeface="+mn-cs"/>
            </a:rPr>
          </a:br>
          <a:r>
            <a:rPr lang="en-US" sz="1100" baseline="0" smtClean="0">
              <a:solidFill>
                <a:schemeClr val="dk1"/>
              </a:solidFill>
              <a:latin typeface="+mn-lt"/>
              <a:ea typeface="+mn-ea"/>
              <a:cs typeface="+mn-cs"/>
            </a:rPr>
            <a:t>Cubmaster _____________________________________________________ </a:t>
          </a: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Committee chair ________________________________________________</a:t>
          </a:r>
        </a:p>
        <a:p>
          <a:endParaRPr lang="en-US" sz="1100" baseline="0" smtClean="0">
            <a:solidFill>
              <a:schemeClr val="dk1"/>
            </a:solidFill>
            <a:latin typeface="+mn-lt"/>
            <a:ea typeface="+mn-ea"/>
            <a:cs typeface="+mn-cs"/>
          </a:endParaRPr>
        </a:p>
        <a:p>
          <a:r>
            <a:rPr lang="en-US" sz="1100" baseline="0" smtClean="0">
              <a:solidFill>
                <a:schemeClr val="dk1"/>
              </a:solidFill>
              <a:latin typeface="+mn-lt"/>
              <a:ea typeface="+mn-ea"/>
              <a:cs typeface="+mn-cs"/>
            </a:rPr>
            <a:t>Commissioner __________________________________________________</a:t>
          </a:r>
          <a:endParaRPr lang="en-US" sz="1100" b="1" baseline="0" smtClean="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A16"/>
  <sheetViews>
    <sheetView tabSelected="1" workbookViewId="0">
      <selection activeCell="A16" sqref="A16"/>
    </sheetView>
  </sheetViews>
  <sheetFormatPr defaultRowHeight="15" x14ac:dyDescent="0.25"/>
  <sheetData>
    <row r="1" spans="1:1" x14ac:dyDescent="0.25">
      <c r="A1" t="s">
        <v>163</v>
      </c>
    </row>
    <row r="2" spans="1:1" x14ac:dyDescent="0.25">
      <c r="A2" t="s">
        <v>162</v>
      </c>
    </row>
    <row r="3" spans="1:1" x14ac:dyDescent="0.25">
      <c r="A3" t="s">
        <v>164</v>
      </c>
    </row>
    <row r="4" spans="1:1" x14ac:dyDescent="0.25">
      <c r="A4" t="s">
        <v>33</v>
      </c>
    </row>
    <row r="13" spans="1:1" x14ac:dyDescent="0.25">
      <c r="A13" t="s">
        <v>163</v>
      </c>
    </row>
    <row r="14" spans="1:1" x14ac:dyDescent="0.25">
      <c r="A14" t="s">
        <v>164</v>
      </c>
    </row>
    <row r="15" spans="1:1" x14ac:dyDescent="0.25">
      <c r="A15" t="s">
        <v>162</v>
      </c>
    </row>
    <row r="16" spans="1:1" x14ac:dyDescent="0.25">
      <c r="A16" t="s">
        <v>33</v>
      </c>
    </row>
  </sheetData>
  <sheetProtection password="DD23"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70C0"/>
  </sheetPr>
  <dimension ref="A5:C36"/>
  <sheetViews>
    <sheetView workbookViewId="0">
      <selection activeCell="C7" sqref="C7"/>
    </sheetView>
  </sheetViews>
  <sheetFormatPr defaultRowHeight="15" x14ac:dyDescent="0.25"/>
  <cols>
    <col min="1" max="1" width="83.140625" customWidth="1"/>
    <col min="2" max="2" width="5.28515625" style="54" customWidth="1"/>
    <col min="3" max="3" width="27.28515625" customWidth="1"/>
  </cols>
  <sheetData>
    <row r="5" spans="1:3" x14ac:dyDescent="0.25">
      <c r="A5" s="25" t="s">
        <v>160</v>
      </c>
    </row>
    <row r="6" spans="1:3" x14ac:dyDescent="0.25">
      <c r="A6" s="24" t="s">
        <v>38</v>
      </c>
    </row>
    <row r="7" spans="1:3" x14ac:dyDescent="0.25">
      <c r="A7" s="27" t="s">
        <v>40</v>
      </c>
      <c r="C7" s="62"/>
    </row>
    <row r="8" spans="1:3" x14ac:dyDescent="0.25">
      <c r="A8" s="27" t="s">
        <v>41</v>
      </c>
      <c r="B8" s="15"/>
      <c r="C8" s="62"/>
    </row>
    <row r="9" spans="1:3" x14ac:dyDescent="0.25">
      <c r="A9" s="27" t="s">
        <v>42</v>
      </c>
      <c r="C9" s="62"/>
    </row>
    <row r="10" spans="1:3" x14ac:dyDescent="0.25">
      <c r="B10" s="19"/>
    </row>
    <row r="11" spans="1:3" x14ac:dyDescent="0.25">
      <c r="A11" s="24" t="s">
        <v>47</v>
      </c>
      <c r="B11" s="19"/>
    </row>
    <row r="12" spans="1:3" x14ac:dyDescent="0.25">
      <c r="A12" s="27" t="s">
        <v>217</v>
      </c>
      <c r="B12" s="21">
        <v>0</v>
      </c>
    </row>
    <row r="13" spans="1:3" x14ac:dyDescent="0.25">
      <c r="A13" s="27" t="s">
        <v>218</v>
      </c>
      <c r="B13" s="21">
        <v>0</v>
      </c>
    </row>
    <row r="15" spans="1:3" x14ac:dyDescent="0.25">
      <c r="A15" s="24" t="s">
        <v>39</v>
      </c>
    </row>
    <row r="16" spans="1:3" x14ac:dyDescent="0.25">
      <c r="A16" s="27" t="s">
        <v>219</v>
      </c>
      <c r="B16" s="21">
        <v>0</v>
      </c>
    </row>
    <row r="18" spans="1:2" x14ac:dyDescent="0.25">
      <c r="A18" s="24" t="s">
        <v>43</v>
      </c>
    </row>
    <row r="19" spans="1:2" x14ac:dyDescent="0.25">
      <c r="A19" s="27" t="s">
        <v>241</v>
      </c>
      <c r="B19" s="21">
        <v>0</v>
      </c>
    </row>
    <row r="20" spans="1:2" x14ac:dyDescent="0.25">
      <c r="A20" s="27" t="s">
        <v>220</v>
      </c>
      <c r="B20" s="21">
        <v>0</v>
      </c>
    </row>
    <row r="21" spans="1:2" x14ac:dyDescent="0.25">
      <c r="A21" s="27" t="s">
        <v>221</v>
      </c>
      <c r="B21" s="21">
        <v>0</v>
      </c>
    </row>
    <row r="22" spans="1:2" x14ac:dyDescent="0.25">
      <c r="B22" s="19"/>
    </row>
    <row r="23" spans="1:2" x14ac:dyDescent="0.25">
      <c r="A23" s="24" t="s">
        <v>57</v>
      </c>
      <c r="B23" s="19"/>
    </row>
    <row r="24" spans="1:2" x14ac:dyDescent="0.25">
      <c r="A24" s="27" t="s">
        <v>103</v>
      </c>
      <c r="B24" s="21">
        <v>0</v>
      </c>
    </row>
    <row r="25" spans="1:2" x14ac:dyDescent="0.25">
      <c r="A25" s="27" t="s">
        <v>104</v>
      </c>
      <c r="B25" s="21">
        <v>0</v>
      </c>
    </row>
    <row r="26" spans="1:2" x14ac:dyDescent="0.25">
      <c r="A26" s="27" t="s">
        <v>105</v>
      </c>
      <c r="B26" s="21">
        <v>0</v>
      </c>
    </row>
    <row r="27" spans="1:2" x14ac:dyDescent="0.25">
      <c r="A27" s="27" t="s">
        <v>106</v>
      </c>
      <c r="B27" s="21">
        <v>0</v>
      </c>
    </row>
    <row r="28" spans="1:2" x14ac:dyDescent="0.25">
      <c r="A28" s="27" t="s">
        <v>107</v>
      </c>
      <c r="B28" s="21">
        <v>0</v>
      </c>
    </row>
    <row r="30" spans="1:2" x14ac:dyDescent="0.25">
      <c r="A30" s="24" t="s">
        <v>44</v>
      </c>
    </row>
    <row r="31" spans="1:2" x14ac:dyDescent="0.25">
      <c r="A31" s="27" t="s">
        <v>222</v>
      </c>
      <c r="B31" s="21">
        <v>0</v>
      </c>
    </row>
    <row r="33" spans="1:2" x14ac:dyDescent="0.25">
      <c r="A33" s="24" t="s">
        <v>53</v>
      </c>
    </row>
    <row r="34" spans="1:2" x14ac:dyDescent="0.25">
      <c r="A34" s="27" t="s">
        <v>54</v>
      </c>
      <c r="B34" s="21" t="s">
        <v>33</v>
      </c>
    </row>
    <row r="35" spans="1:2" x14ac:dyDescent="0.25">
      <c r="A35" s="27" t="s">
        <v>55</v>
      </c>
      <c r="B35" s="21" t="s">
        <v>33</v>
      </c>
    </row>
    <row r="36" spans="1:2" x14ac:dyDescent="0.25">
      <c r="A36" s="27" t="s">
        <v>56</v>
      </c>
      <c r="B36" s="21" t="s">
        <v>33</v>
      </c>
    </row>
  </sheetData>
  <sheetProtection password="DD23" sheet="1" objects="1" scenarios="1" selectLockedCells="1"/>
  <dataValidations count="9">
    <dataValidation type="whole" showInputMessage="1" showErrorMessage="1" errorTitle="Invalid Number" error="Please enter a whole number between 0 and 1000" sqref="B19 B12">
      <formula1>0</formula1>
      <formula2>1000</formula2>
    </dataValidation>
    <dataValidation type="whole" showInputMessage="1" showErrorMessage="1" errorTitle="Invalid Number" error="Please enter a whole number between 0 and 100" sqref="B13">
      <formula1>0</formula1>
      <formula2>100</formula2>
    </dataValidation>
    <dataValidation type="whole" showInputMessage="1" showErrorMessage="1" errorTitle="Invalid Percentage" error="Please enter a whole number between 0 and 100.  Do not include the % sign." sqref="B21 B16">
      <formula1>0</formula1>
      <formula2>100</formula2>
    </dataValidation>
    <dataValidation type="whole" showInputMessage="1" showErrorMessage="1" errorTitle="Invalid Number" error="Please enter a whole number between 0 and 500." sqref="B20">
      <formula1>0</formula1>
      <formula2>500</formula2>
    </dataValidation>
    <dataValidation type="whole" showInputMessage="1" showErrorMessage="1" errorTitle="Invalid Number" error="Please enter a number between 0 and 20" sqref="B24">
      <formula1>0</formula1>
      <formula2>20</formula2>
    </dataValidation>
    <dataValidation type="whole" showInputMessage="1" showErrorMessage="1" errorTitle="Invalid Number of Dens" error="Please enter a number between 0 and 20." sqref="B25">
      <formula1>0</formula1>
      <formula2>20</formula2>
    </dataValidation>
    <dataValidation type="whole" showInputMessage="1" showErrorMessage="1" errorTitle="Invalid Number of Dens" error="Please enter a number between 0 and 20" sqref="B28 B26">
      <formula1>0</formula1>
      <formula2>20</formula2>
    </dataValidation>
    <dataValidation type="whole" showInputMessage="1" showErrorMessage="1" errorTitle="Invaid Number of Dens" error="Please enter a number between 0 and 20" sqref="B27">
      <formula1>0</formula1>
      <formula2>20</formula2>
    </dataValidation>
    <dataValidation type="whole" showInputMessage="1" showErrorMessage="1" errorTitle="invalid Percentage" error="Please enter a number between 0 and 100.  Do not include the % sign." sqref="B31">
      <formula1>0</formula1>
      <formula2>100</formula2>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Instructions!A1:A4</xm:f>
          </x14:formula1>
          <xm:sqref>B34</xm:sqref>
        </x14:dataValidation>
        <x14:dataValidation type="list" allowBlank="1" showInputMessage="1" showErrorMessage="1" errorTitle="Invalid" error="Please enter a Y or N ">
          <x14:formula1>
            <xm:f>Instructions!A1:A4</xm:f>
          </x14:formula1>
          <xm:sqref>B35</xm:sqref>
        </x14:dataValidation>
        <x14:dataValidation type="list" allowBlank="1" showInputMessage="1" showErrorMessage="1" errorTitle="Invalid Entry" error="Please enter a Y or N ">
          <x14:formula1>
            <xm:f>Instructions!A1:A4</xm:f>
          </x14:formula1>
          <xm:sqref>B36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sheetPr>
  <dimension ref="A4:D71"/>
  <sheetViews>
    <sheetView topLeftCell="A31" workbookViewId="0">
      <selection activeCell="B7" sqref="B7"/>
    </sheetView>
  </sheetViews>
  <sheetFormatPr defaultRowHeight="15" x14ac:dyDescent="0.25"/>
  <cols>
    <col min="1" max="1" width="106" customWidth="1"/>
    <col min="2" max="2" width="6.140625" style="54" customWidth="1"/>
  </cols>
  <sheetData>
    <row r="4" spans="1:4" x14ac:dyDescent="0.25">
      <c r="B4" s="81" t="str">
        <f>"Pack "&amp;'Start Up Questions'!C9</f>
        <v xml:space="preserve">Pack </v>
      </c>
      <c r="C4" s="81"/>
      <c r="D4" s="81"/>
    </row>
    <row r="5" spans="1:4" x14ac:dyDescent="0.25">
      <c r="A5" s="25" t="s">
        <v>160</v>
      </c>
      <c r="B5" s="81"/>
      <c r="C5" s="81"/>
      <c r="D5" s="81"/>
    </row>
    <row r="6" spans="1:4" x14ac:dyDescent="0.25">
      <c r="A6" s="24" t="s">
        <v>47</v>
      </c>
    </row>
    <row r="7" spans="1:4" x14ac:dyDescent="0.25">
      <c r="A7" s="27" t="s">
        <v>48</v>
      </c>
      <c r="B7" s="21">
        <v>0</v>
      </c>
    </row>
    <row r="8" spans="1:4" x14ac:dyDescent="0.25">
      <c r="A8" s="27" t="s">
        <v>223</v>
      </c>
      <c r="B8" s="21">
        <v>0</v>
      </c>
    </row>
    <row r="9" spans="1:4" x14ac:dyDescent="0.25">
      <c r="A9" s="27" t="s">
        <v>224</v>
      </c>
      <c r="B9" s="21">
        <v>0</v>
      </c>
    </row>
    <row r="10" spans="1:4" x14ac:dyDescent="0.25">
      <c r="A10" s="27" t="s">
        <v>248</v>
      </c>
      <c r="B10" s="21">
        <v>0</v>
      </c>
    </row>
    <row r="11" spans="1:4" x14ac:dyDescent="0.25">
      <c r="A11" s="27" t="s">
        <v>225</v>
      </c>
      <c r="B11" s="21" t="s">
        <v>164</v>
      </c>
    </row>
    <row r="12" spans="1:4" x14ac:dyDescent="0.25">
      <c r="B12" s="19"/>
    </row>
    <row r="13" spans="1:4" x14ac:dyDescent="0.25">
      <c r="A13" s="24" t="s">
        <v>39</v>
      </c>
    </row>
    <row r="14" spans="1:4" x14ac:dyDescent="0.25">
      <c r="A14" s="27" t="s">
        <v>226</v>
      </c>
      <c r="B14" s="21">
        <v>0</v>
      </c>
    </row>
    <row r="16" spans="1:4" x14ac:dyDescent="0.25">
      <c r="A16" s="24" t="s">
        <v>44</v>
      </c>
    </row>
    <row r="17" spans="1:2" x14ac:dyDescent="0.25">
      <c r="A17" s="27" t="s">
        <v>227</v>
      </c>
      <c r="B17" s="21">
        <v>0</v>
      </c>
    </row>
    <row r="18" spans="1:2" x14ac:dyDescent="0.25">
      <c r="A18" s="27" t="s">
        <v>228</v>
      </c>
      <c r="B18" s="21">
        <v>0</v>
      </c>
    </row>
    <row r="19" spans="1:2" x14ac:dyDescent="0.25">
      <c r="A19" s="27" t="s">
        <v>229</v>
      </c>
      <c r="B19" s="21" t="s">
        <v>33</v>
      </c>
    </row>
    <row r="21" spans="1:2" x14ac:dyDescent="0.25">
      <c r="A21" s="24" t="s">
        <v>49</v>
      </c>
    </row>
    <row r="22" spans="1:2" x14ac:dyDescent="0.25">
      <c r="A22" s="27" t="s">
        <v>230</v>
      </c>
      <c r="B22" s="21">
        <v>0</v>
      </c>
    </row>
    <row r="23" spans="1:2" x14ac:dyDescent="0.25">
      <c r="A23" s="27" t="s">
        <v>50</v>
      </c>
      <c r="B23" s="21" t="s">
        <v>164</v>
      </c>
    </row>
    <row r="24" spans="1:2" x14ac:dyDescent="0.25">
      <c r="A24" s="27" t="s">
        <v>161</v>
      </c>
      <c r="B24" s="21" t="s">
        <v>164</v>
      </c>
    </row>
    <row r="26" spans="1:2" x14ac:dyDescent="0.25">
      <c r="A26" s="24" t="s">
        <v>76</v>
      </c>
    </row>
    <row r="27" spans="1:2" x14ac:dyDescent="0.25">
      <c r="A27" s="27" t="s">
        <v>45</v>
      </c>
      <c r="B27" s="21" t="s">
        <v>33</v>
      </c>
    </row>
    <row r="28" spans="1:2" x14ac:dyDescent="0.25">
      <c r="A28" s="27" t="s">
        <v>207</v>
      </c>
      <c r="B28" s="21" t="s">
        <v>33</v>
      </c>
    </row>
    <row r="29" spans="1:2" x14ac:dyDescent="0.25">
      <c r="A29" s="27" t="s">
        <v>46</v>
      </c>
      <c r="B29" s="21" t="s">
        <v>33</v>
      </c>
    </row>
    <row r="30" spans="1:2" x14ac:dyDescent="0.25">
      <c r="A30" s="27" t="s">
        <v>208</v>
      </c>
      <c r="B30" s="21" t="s">
        <v>33</v>
      </c>
    </row>
    <row r="31" spans="1:2" x14ac:dyDescent="0.25">
      <c r="A31" s="27" t="s">
        <v>206</v>
      </c>
      <c r="B31" s="21">
        <v>0</v>
      </c>
    </row>
    <row r="32" spans="1:2" x14ac:dyDescent="0.25">
      <c r="A32" s="27" t="s">
        <v>209</v>
      </c>
      <c r="B32" s="21">
        <v>0</v>
      </c>
    </row>
    <row r="33" spans="1:4" x14ac:dyDescent="0.25">
      <c r="A33" s="27" t="s">
        <v>231</v>
      </c>
      <c r="B33" s="21" t="s">
        <v>33</v>
      </c>
    </row>
    <row r="34" spans="1:4" x14ac:dyDescent="0.25">
      <c r="A34" s="27" t="s">
        <v>232</v>
      </c>
      <c r="B34" s="21" t="s">
        <v>33</v>
      </c>
      <c r="D34" s="67">
        <f>'Start Up Questions'!B13</f>
        <v>0</v>
      </c>
    </row>
    <row r="35" spans="1:4" x14ac:dyDescent="0.25">
      <c r="A35" s="27" t="s">
        <v>246</v>
      </c>
      <c r="B35" s="21" t="s">
        <v>164</v>
      </c>
      <c r="D35" s="67"/>
    </row>
    <row r="37" spans="1:4" x14ac:dyDescent="0.25">
      <c r="A37" s="24" t="s">
        <v>51</v>
      </c>
    </row>
    <row r="38" spans="1:4" x14ac:dyDescent="0.25">
      <c r="A38" s="27" t="s">
        <v>233</v>
      </c>
      <c r="B38" s="21">
        <v>0</v>
      </c>
    </row>
    <row r="39" spans="1:4" x14ac:dyDescent="0.25">
      <c r="A39" s="27" t="s">
        <v>52</v>
      </c>
      <c r="B39" s="21" t="s">
        <v>33</v>
      </c>
    </row>
    <row r="40" spans="1:4" x14ac:dyDescent="0.25">
      <c r="A40" s="27" t="s">
        <v>234</v>
      </c>
      <c r="B40" s="21">
        <v>0</v>
      </c>
    </row>
    <row r="42" spans="1:4" x14ac:dyDescent="0.25">
      <c r="A42" s="24" t="s">
        <v>53</v>
      </c>
    </row>
    <row r="43" spans="1:4" x14ac:dyDescent="0.25">
      <c r="A43" s="27" t="s">
        <v>98</v>
      </c>
      <c r="B43" s="21" t="s">
        <v>33</v>
      </c>
    </row>
    <row r="44" spans="1:4" x14ac:dyDescent="0.25">
      <c r="A44" s="27" t="s">
        <v>235</v>
      </c>
      <c r="B44" s="21" t="s">
        <v>33</v>
      </c>
    </row>
    <row r="46" spans="1:4" x14ac:dyDescent="0.25">
      <c r="A46" s="24" t="s">
        <v>57</v>
      </c>
    </row>
    <row r="47" spans="1:4" x14ac:dyDescent="0.25">
      <c r="A47" s="27" t="s">
        <v>236</v>
      </c>
      <c r="B47" s="21" t="s">
        <v>33</v>
      </c>
    </row>
    <row r="48" spans="1:4" x14ac:dyDescent="0.25">
      <c r="A48" s="27" t="s">
        <v>237</v>
      </c>
      <c r="B48" s="21">
        <v>0</v>
      </c>
    </row>
    <row r="49" spans="1:4" x14ac:dyDescent="0.25">
      <c r="A49" s="27" t="s">
        <v>238</v>
      </c>
      <c r="B49" s="21">
        <v>0</v>
      </c>
    </row>
    <row r="50" spans="1:4" x14ac:dyDescent="0.25">
      <c r="D50" t="s">
        <v>165</v>
      </c>
    </row>
    <row r="51" spans="1:4" x14ac:dyDescent="0.25">
      <c r="A51" s="27" t="s">
        <v>198</v>
      </c>
      <c r="B51" s="21">
        <v>0</v>
      </c>
      <c r="D51" s="66">
        <f>'Start Up Questions'!B24</f>
        <v>0</v>
      </c>
    </row>
    <row r="52" spans="1:4" x14ac:dyDescent="0.25">
      <c r="A52" s="27" t="s">
        <v>199</v>
      </c>
      <c r="B52" s="21">
        <v>0</v>
      </c>
      <c r="D52" s="66">
        <f>'Start Up Questions'!B25</f>
        <v>0</v>
      </c>
    </row>
    <row r="53" spans="1:4" x14ac:dyDescent="0.25">
      <c r="A53" s="27" t="s">
        <v>200</v>
      </c>
      <c r="B53" s="21">
        <v>0</v>
      </c>
      <c r="D53" s="66">
        <f>'Start Up Questions'!B26</f>
        <v>0</v>
      </c>
    </row>
    <row r="54" spans="1:4" x14ac:dyDescent="0.25">
      <c r="A54" s="27" t="s">
        <v>201</v>
      </c>
      <c r="B54" s="21">
        <v>0</v>
      </c>
      <c r="D54" s="66">
        <f>'Start Up Questions'!B27</f>
        <v>0</v>
      </c>
    </row>
    <row r="55" spans="1:4" x14ac:dyDescent="0.25">
      <c r="A55" s="27" t="s">
        <v>202</v>
      </c>
      <c r="B55" s="21">
        <v>0</v>
      </c>
      <c r="D55" s="66">
        <f>'Start Up Questions'!B28</f>
        <v>0</v>
      </c>
    </row>
    <row r="56" spans="1:4" x14ac:dyDescent="0.25">
      <c r="B56" s="19"/>
    </row>
    <row r="57" spans="1:4" x14ac:dyDescent="0.25">
      <c r="A57" s="24" t="s">
        <v>112</v>
      </c>
      <c r="B57" s="19"/>
    </row>
    <row r="58" spans="1:4" x14ac:dyDescent="0.25">
      <c r="A58" s="27" t="s">
        <v>58</v>
      </c>
      <c r="B58" s="21" t="s">
        <v>33</v>
      </c>
    </row>
    <row r="59" spans="1:4" x14ac:dyDescent="0.25">
      <c r="A59" s="27" t="s">
        <v>59</v>
      </c>
      <c r="B59" s="21" t="s">
        <v>33</v>
      </c>
    </row>
    <row r="61" spans="1:4" x14ac:dyDescent="0.25">
      <c r="A61" s="24" t="s">
        <v>60</v>
      </c>
    </row>
    <row r="62" spans="1:4" x14ac:dyDescent="0.25">
      <c r="A62" s="27" t="s">
        <v>175</v>
      </c>
      <c r="B62" s="21" t="s">
        <v>33</v>
      </c>
    </row>
    <row r="63" spans="1:4" x14ac:dyDescent="0.25">
      <c r="A63" s="27" t="s">
        <v>61</v>
      </c>
      <c r="B63" s="21" t="s">
        <v>33</v>
      </c>
    </row>
    <row r="64" spans="1:4" x14ac:dyDescent="0.25">
      <c r="A64" s="27" t="s">
        <v>62</v>
      </c>
      <c r="B64" s="21" t="s">
        <v>33</v>
      </c>
    </row>
    <row r="66" spans="1:2" x14ac:dyDescent="0.25">
      <c r="A66" s="24" t="s">
        <v>63</v>
      </c>
    </row>
    <row r="67" spans="1:2" x14ac:dyDescent="0.25">
      <c r="A67" s="27" t="s">
        <v>251</v>
      </c>
      <c r="B67" s="21" t="s">
        <v>33</v>
      </c>
    </row>
    <row r="68" spans="1:2" x14ac:dyDescent="0.25">
      <c r="A68" s="27" t="s">
        <v>176</v>
      </c>
      <c r="B68" s="21" t="s">
        <v>164</v>
      </c>
    </row>
    <row r="69" spans="1:2" x14ac:dyDescent="0.25">
      <c r="A69" s="27" t="s">
        <v>177</v>
      </c>
      <c r="B69" s="21" t="s">
        <v>33</v>
      </c>
    </row>
    <row r="70" spans="1:2" x14ac:dyDescent="0.25">
      <c r="A70" s="27" t="s">
        <v>210</v>
      </c>
      <c r="B70" s="21" t="s">
        <v>33</v>
      </c>
    </row>
    <row r="71" spans="1:2" x14ac:dyDescent="0.25">
      <c r="A71" s="27" t="s">
        <v>211</v>
      </c>
      <c r="B71" s="21" t="s">
        <v>164</v>
      </c>
    </row>
  </sheetData>
  <sheetProtection password="DD23" sheet="1" objects="1" scenarios="1" selectLockedCells="1"/>
  <mergeCells count="1">
    <mergeCell ref="B4:D5"/>
  </mergeCells>
  <dataValidations count="13">
    <dataValidation type="whole" showInputMessage="1" showErrorMessage="1" errorTitle="Invalid Number" error="Please enter a whole number between 0 and 1000." sqref="B14 B7:B8 B18">
      <formula1>0</formula1>
      <formula2>1000</formula2>
    </dataValidation>
    <dataValidation type="whole" showInputMessage="1" showErrorMessage="1" errorTitle="Invalid Number" error="Please enter a whole number between 0 and 500" sqref="B9:B10">
      <formula1>0</formula1>
      <formula2>500</formula2>
    </dataValidation>
    <dataValidation type="whole" showInputMessage="1" showErrorMessage="1" errorTitle="Invalid Number" error="Please enter a whole number between 0 and 50." sqref="B17 B22">
      <formula1>0</formula1>
      <formula2>50</formula2>
    </dataValidation>
    <dataValidation type="whole" showInputMessage="1" showErrorMessage="1" error="Please enter a whole number between 0 and 25." sqref="B38">
      <formula1>0</formula1>
      <formula2>25</formula2>
    </dataValidation>
    <dataValidation type="whole" showInputMessage="1" showErrorMessage="1" errorTitle="Bridged Exceeds Webelos" error="Please enter a number between 0 and the total number of second year Webelos in the pack." sqref="B40">
      <formula1>0</formula1>
      <formula2>D34</formula2>
    </dataValidation>
    <dataValidation type="custom" allowBlank="1" showInputMessage="1" showErrorMessage="1" error="You must have at least one Tiger Den to record meeting frequency and total number of meetings cannot exceed 5 meetings per month per den." sqref="B51">
      <formula1>IF(AND(D51&gt;=0,B51&lt;=D51*5),TRUE,FALSE)</formula1>
    </dataValidation>
    <dataValidation type="custom" allowBlank="1" showInputMessage="1" showErrorMessage="1" error="You must have at least one Wolf Den to record meeting frequency and total number of meetings cannot exceed 5 meetings per month per den." sqref="B52">
      <formula1>IF(AND(D52&gt;=0,B52&lt;=D52*5),TRUE,FALSE)</formula1>
    </dataValidation>
    <dataValidation type="custom" allowBlank="1" showInputMessage="1" showErrorMessage="1" error="You must have at least one Bear Den to record meeting frequency and total number of meetings cannot exceed 5 meetings per month per den." sqref="B53">
      <formula1>IF(AND(D53&gt;=0,B53&lt;=D53*5),TRUE,FALSE)</formula1>
    </dataValidation>
    <dataValidation type="custom" allowBlank="1" showInputMessage="1" showErrorMessage="1" error="You must have at least one First Year Webelos Den to record meeting frequency and total number of meetings cannot exceed 5 meetings per month per den._x000a_" sqref="B54">
      <formula1>IF(AND(D54&gt;=0,B54&lt;=D54*5),TRUE,FALSE)</formula1>
    </dataValidation>
    <dataValidation type="custom" allowBlank="1" showInputMessage="1" showErrorMessage="1" error="You must have at least one Second Year Webelos Den to record meeting frequency and total number of meetings cannot exceed 5 meetings per month per den._x000a_" sqref="B55">
      <formula1>IF(AND(D55&gt;=0,B55&lt;=D55*5),TRUE,FALSE)</formula1>
    </dataValidation>
    <dataValidation type="whole" operator="lessThanOrEqual" allowBlank="1" showInputMessage="1" showErrorMessage="1" error="Please enter a whole number between 0 and 12." sqref="B48">
      <formula1>12</formula1>
    </dataValidation>
    <dataValidation type="whole" operator="lessThanOrEqual" allowBlank="1" showInputMessage="1" showErrorMessage="1" error="Please enter a whole number between 0 and 24." sqref="B49">
      <formula1>24</formula1>
    </dataValidation>
    <dataValidation type="whole" allowBlank="1" showInputMessage="1" showErrorMessage="1" error="Please enter a number between 0 and 100" sqref="B31:B32">
      <formula1>0</formula1>
      <formula2>100</formula2>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5">
        <x14:dataValidation type="list" allowBlank="1" showInputMessage="1" showErrorMessage="1" error="Please use a Y or N.">
          <x14:formula1>
            <xm:f>Instructions!A13:A16</xm:f>
          </x14:formula1>
          <xm:sqref>B69</xm:sqref>
        </x14:dataValidation>
        <x14:dataValidation type="list" allowBlank="1" showInputMessage="1" showErrorMessage="1" error="Please use a Y or N.">
          <x14:formula1>
            <xm:f>Instructions!A1:A4</xm:f>
          </x14:formula1>
          <xm:sqref>B39</xm:sqref>
        </x14:dataValidation>
        <x14:dataValidation type="list" allowBlank="1" showInputMessage="1" showErrorMessage="1" error="Please use a Y or N.">
          <x14:formula1>
            <xm:f>Instructions!A13:A16</xm:f>
          </x14:formula1>
          <xm:sqref>B43</xm:sqref>
        </x14:dataValidation>
        <x14:dataValidation type="list" allowBlank="1" showInputMessage="1" showErrorMessage="1" error="Please use a Y or N.">
          <x14:formula1>
            <xm:f>Instructions!A13:A16</xm:f>
          </x14:formula1>
          <xm:sqref>B44</xm:sqref>
        </x14:dataValidation>
        <x14:dataValidation type="list" allowBlank="1" showInputMessage="1" showErrorMessage="1" error="Please use a Y or N.">
          <x14:formula1>
            <xm:f>Instructions!A13:A16</xm:f>
          </x14:formula1>
          <xm:sqref>B47</xm:sqref>
        </x14:dataValidation>
        <x14:dataValidation type="list" allowBlank="1" showInputMessage="1" showErrorMessage="1" error="Please use a Y or N.">
          <x14:formula1>
            <xm:f>Instructions!A13:A16</xm:f>
          </x14:formula1>
          <xm:sqref>B58</xm:sqref>
        </x14:dataValidation>
        <x14:dataValidation type="list" allowBlank="1" showInputMessage="1" showErrorMessage="1" error="Please use a Y or N.">
          <x14:formula1>
            <xm:f>Instructions!A13:A16</xm:f>
          </x14:formula1>
          <xm:sqref>B59</xm:sqref>
        </x14:dataValidation>
        <x14:dataValidation type="list" allowBlank="1" showInputMessage="1" showErrorMessage="1" error="Please use a Y or N.">
          <x14:formula1>
            <xm:f>Instructions!A13:A16</xm:f>
          </x14:formula1>
          <xm:sqref>B62</xm:sqref>
        </x14:dataValidation>
        <x14:dataValidation type="list" allowBlank="1" showInputMessage="1" showErrorMessage="1" error="Please use a Y or N.">
          <x14:formula1>
            <xm:f>Instructions!A13:A16</xm:f>
          </x14:formula1>
          <xm:sqref>B63</xm:sqref>
        </x14:dataValidation>
        <x14:dataValidation type="list" allowBlank="1" showInputMessage="1" showErrorMessage="1" error="Please use a Y or N.">
          <x14:formula1>
            <xm:f>Instructions!A13:A16</xm:f>
          </x14:formula1>
          <xm:sqref>B64</xm:sqref>
        </x14:dataValidation>
        <x14:dataValidation type="list" allowBlank="1" showInputMessage="1" showErrorMessage="1" error="Please use a Y or N.">
          <x14:formula1>
            <xm:f>Instructions!A13:A16</xm:f>
          </x14:formula1>
          <xm:sqref>B67</xm:sqref>
        </x14:dataValidation>
        <x14:dataValidation type="list" allowBlank="1" showInputMessage="1" showErrorMessage="1" error="Please use a Y or N.">
          <x14:formula1>
            <xm:f>Instructions!A13:A16</xm:f>
          </x14:formula1>
          <xm:sqref>B68</xm:sqref>
        </x14:dataValidation>
        <x14:dataValidation type="list" allowBlank="1" showInputMessage="1" showErrorMessage="1" error="Please use a Y or N.">
          <x14:formula1>
            <xm:f>Instructions!A13:A16</xm:f>
          </x14:formula1>
          <xm:sqref>B70</xm:sqref>
        </x14:dataValidation>
        <x14:dataValidation type="list" allowBlank="1" showInputMessage="1" showErrorMessage="1" error="Please use a Y or N.">
          <x14:formula1>
            <xm:f>Instructions!A13:A16</xm:f>
          </x14:formula1>
          <xm:sqref>B71</xm:sqref>
        </x14:dataValidation>
        <x14:dataValidation type="list" allowBlank="1" showInputMessage="1" showErrorMessage="1" errorTitle="Invalid Data Entered" error="Please use a Y or N.">
          <x14:formula1>
            <xm:f>Instructions!A1:A4</xm:f>
          </x14:formula1>
          <xm:sqref>B11</xm:sqref>
        </x14:dataValidation>
        <x14:dataValidation type="list" allowBlank="1" showInputMessage="1" showErrorMessage="1" errorTitle="Invalid Data Entered" error="Please use a Y or N.">
          <x14:formula1>
            <xm:f>Instructions!A13:A16</xm:f>
          </x14:formula1>
          <xm:sqref>B23</xm:sqref>
        </x14:dataValidation>
        <x14:dataValidation type="list" allowBlank="1" showInputMessage="1" showErrorMessage="1" errorTitle="Invalid Data Entered" error="Please us a Y or N.">
          <x14:formula1>
            <xm:f>Instructions!A1:A4</xm:f>
          </x14:formula1>
          <xm:sqref>B24</xm:sqref>
        </x14:dataValidation>
        <x14:dataValidation type="list" allowBlank="1" showInputMessage="1" showErrorMessage="1" error="Please use a Y or N.">
          <x14:formula1>
            <xm:f>Instructions!A1:A4</xm:f>
          </x14:formula1>
          <xm:sqref>B29</xm:sqref>
        </x14:dataValidation>
        <x14:dataValidation type="list" allowBlank="1" showInputMessage="1" showErrorMessage="1" errorTitle="Invalid Data Entered" error="Please use a Y or N.">
          <x14:formula1>
            <xm:f>Instructions!A13:A16</xm:f>
          </x14:formula1>
          <xm:sqref>B27</xm:sqref>
        </x14:dataValidation>
        <x14:dataValidation type="list" allowBlank="1" showInputMessage="1" showErrorMessage="1" errorTitle="Invalid Data Entered" error="Please use a Y or N.">
          <x14:formula1>
            <xm:f>Instructions!A13:A16</xm:f>
          </x14:formula1>
          <xm:sqref>B28</xm:sqref>
        </x14:dataValidation>
        <x14:dataValidation type="list" allowBlank="1" showInputMessage="1" showErrorMessage="1" error="Please use a Y or N.">
          <x14:formula1>
            <xm:f>Instructions!A13:A16</xm:f>
          </x14:formula1>
          <xm:sqref>B33</xm:sqref>
        </x14:dataValidation>
        <x14:dataValidation type="list" allowBlank="1" showInputMessage="1" showErrorMessage="1" error="Please use a Y or N.">
          <x14:formula1>
            <xm:f>Instructions!A13:A16</xm:f>
          </x14:formula1>
          <xm:sqref>B34</xm:sqref>
        </x14:dataValidation>
        <x14:dataValidation type="list" allowBlank="1" showInputMessage="1" showErrorMessage="1" errorTitle="Invalid Data Entered" error="Please use a Y or N.">
          <x14:formula1>
            <xm:f>Instructions!A13:A16</xm:f>
          </x14:formula1>
          <xm:sqref>B19</xm:sqref>
        </x14:dataValidation>
        <x14:dataValidation type="list" allowBlank="1" showInputMessage="1" showErrorMessage="1" error="Please use a Y or N.">
          <x14:formula1>
            <xm:f>Instructions!A1:A4</xm:f>
          </x14:formula1>
          <xm:sqref>B30</xm:sqref>
        </x14:dataValidation>
        <x14:dataValidation type="list" allowBlank="1" showInputMessage="1" showErrorMessage="1" error="Please use a Y or N.">
          <x14:formula1>
            <xm:f>Instructions!A13:A16</xm:f>
          </x14:formula1>
          <xm:sqref>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4:Q83"/>
  <sheetViews>
    <sheetView topLeftCell="A46" workbookViewId="0">
      <selection activeCell="B7" sqref="B7"/>
    </sheetView>
  </sheetViews>
  <sheetFormatPr defaultRowHeight="15" x14ac:dyDescent="0.25"/>
  <cols>
    <col min="1" max="1" width="3" style="31" bestFit="1" customWidth="1"/>
    <col min="2" max="2" width="19.140625" bestFit="1" customWidth="1"/>
    <col min="3" max="3" width="1.85546875" customWidth="1"/>
    <col min="4" max="4" width="4.42578125" style="26" customWidth="1"/>
    <col min="5" max="5" width="9.85546875" customWidth="1"/>
    <col min="6" max="6" width="3.140625" customWidth="1"/>
    <col min="7" max="7" width="5.5703125" customWidth="1"/>
    <col min="8" max="8" width="4.28515625" style="23" customWidth="1"/>
    <col min="9" max="9" width="24.85546875" bestFit="1" customWidth="1"/>
    <col min="10" max="10" width="3.42578125" style="27" customWidth="1"/>
    <col min="11" max="11" width="5.28515625" customWidth="1"/>
    <col min="12" max="12" width="4.7109375" style="23" customWidth="1"/>
    <col min="13" max="13" width="24.85546875" bestFit="1" customWidth="1"/>
    <col min="14" max="14" width="3.42578125" customWidth="1"/>
    <col min="15" max="15" width="6" customWidth="1"/>
    <col min="16" max="16" width="5.28515625" style="23" customWidth="1"/>
    <col min="17" max="17" width="26.140625" customWidth="1"/>
  </cols>
  <sheetData>
    <row r="4" spans="1:17" x14ac:dyDescent="0.25">
      <c r="D4" s="31"/>
      <c r="H4" s="31"/>
      <c r="L4" s="31"/>
      <c r="P4" s="31"/>
    </row>
    <row r="5" spans="1:17" ht="15" customHeight="1" x14ac:dyDescent="0.25">
      <c r="A5" s="43"/>
      <c r="B5" s="91" t="str">
        <f>"Performance Goals for Pack "&amp;'Start Up Questions'!C9&amp;", "&amp;'Start Up Questions'!C8&amp;" District, "&amp;'Start Up Questions'!C7&amp;" Council"</f>
        <v>Performance Goals for Pack ,  District,  Council</v>
      </c>
      <c r="C5" s="91"/>
      <c r="D5" s="91"/>
      <c r="E5" s="91"/>
      <c r="F5" s="91"/>
      <c r="G5" s="91"/>
      <c r="H5" s="91"/>
      <c r="I5" s="91"/>
      <c r="J5" s="91"/>
      <c r="K5" s="91"/>
      <c r="L5" s="91"/>
      <c r="M5" s="91"/>
      <c r="N5" s="91"/>
      <c r="O5" s="91"/>
      <c r="P5" s="91"/>
      <c r="Q5" s="91"/>
    </row>
    <row r="6" spans="1:17" ht="15" customHeight="1" x14ac:dyDescent="0.25">
      <c r="A6" s="43"/>
      <c r="B6" s="91"/>
      <c r="C6" s="91"/>
      <c r="D6" s="91"/>
      <c r="E6" s="91"/>
      <c r="F6" s="91"/>
      <c r="G6" s="91"/>
      <c r="H6" s="91"/>
      <c r="I6" s="91"/>
      <c r="J6" s="91"/>
      <c r="K6" s="91"/>
      <c r="L6" s="91"/>
      <c r="M6" s="91"/>
      <c r="N6" s="91"/>
      <c r="O6" s="91"/>
      <c r="P6" s="91"/>
      <c r="Q6" s="91"/>
    </row>
    <row r="8" spans="1:17" x14ac:dyDescent="0.25">
      <c r="D8" s="87" t="s">
        <v>68</v>
      </c>
      <c r="E8" s="87"/>
      <c r="G8" s="83" t="s">
        <v>2</v>
      </c>
      <c r="H8" s="83"/>
      <c r="I8" s="83"/>
      <c r="K8" s="84" t="s">
        <v>3</v>
      </c>
      <c r="L8" s="84"/>
      <c r="M8" s="84"/>
      <c r="O8" s="85" t="s">
        <v>4</v>
      </c>
      <c r="P8" s="85"/>
      <c r="Q8" s="85"/>
    </row>
    <row r="9" spans="1:17" x14ac:dyDescent="0.25">
      <c r="A9" s="34">
        <v>1</v>
      </c>
      <c r="B9" s="69" t="s">
        <v>0</v>
      </c>
      <c r="C9" s="30"/>
      <c r="D9" s="34">
        <f>'Current Questions'!B14</f>
        <v>0</v>
      </c>
      <c r="E9" s="30" t="s">
        <v>69</v>
      </c>
      <c r="G9" s="28" t="str">
        <f>IF(D9&gt;0,IF(D9&gt;=H9,"Y",IF(D10&gt;=H10,"Y","N")),"N")</f>
        <v>N</v>
      </c>
      <c r="H9" s="23">
        <f>ROUNDUP(('Start Up Questions'!B12+'Current Questions'!B9)*0.4,0)</f>
        <v>0</v>
      </c>
      <c r="I9" t="s">
        <v>64</v>
      </c>
      <c r="K9" s="29" t="str">
        <f>IF(D9&gt;0,IF(AND(D9&gt;=L11,D10&gt;=L12),"Y",IF(D9&gt;=L9,"Y","N")),"N")</f>
        <v>N</v>
      </c>
      <c r="L9" s="80">
        <f>ROUNDUP(('Start Up Questions'!B12+'Current Questions'!B9)*0.55,0)</f>
        <v>0</v>
      </c>
      <c r="M9" t="s">
        <v>64</v>
      </c>
      <c r="O9" s="35" t="str">
        <f>IF(D9&gt;0,IF(AND(D9&gt;=P11,D10&gt;=P12),"Y",IF(D9&gt;=P9,"Y","N")),"N")</f>
        <v>N</v>
      </c>
      <c r="P9" s="80">
        <f>ROUNDUP(('Start Up Questions'!B12+'Current Questions'!B9)*0.75,0)</f>
        <v>0</v>
      </c>
      <c r="Q9" t="s">
        <v>64</v>
      </c>
    </row>
    <row r="10" spans="1:17" x14ac:dyDescent="0.25">
      <c r="B10" t="str">
        <f>IF(O9="Y","Gold",IF(K9="Y","Silver",IF(G9="Y","Bronze"," ")))</f>
        <v xml:space="preserve"> </v>
      </c>
      <c r="D10" s="34">
        <f>IF('Start Up Questions'!B12&gt;0,ROUND(('Current Questions'!B14/('Current Questions'!B9+'Start Up Questions'!B12))*100,0),0)</f>
        <v>0</v>
      </c>
      <c r="E10" s="30" t="s">
        <v>70</v>
      </c>
      <c r="F10" s="30"/>
      <c r="G10" t="s">
        <v>6</v>
      </c>
      <c r="H10" s="23">
        <f>ROUNDUP(IF('Start Up Questions'!B16&gt;0,'Start Up Questions'!B16+2,0),0)</f>
        <v>0</v>
      </c>
      <c r="I10" t="s">
        <v>67</v>
      </c>
      <c r="K10" t="s">
        <v>6</v>
      </c>
      <c r="O10" t="s">
        <v>6</v>
      </c>
    </row>
    <row r="11" spans="1:17" x14ac:dyDescent="0.25">
      <c r="L11" s="80">
        <f>ROUNDUP(('Start Up Questions'!B12+'Current Questions'!B9)*0.4,0)</f>
        <v>0</v>
      </c>
      <c r="M11" t="s">
        <v>64</v>
      </c>
      <c r="P11" s="80">
        <f>ROUNDUP(('Start Up Questions'!B12+'Current Questions'!B9)*0.55,0)</f>
        <v>0</v>
      </c>
      <c r="Q11" t="s">
        <v>64</v>
      </c>
    </row>
    <row r="12" spans="1:17" x14ac:dyDescent="0.25">
      <c r="K12" t="s">
        <v>65</v>
      </c>
      <c r="L12" s="23">
        <f>ROUNDUP(IF('Start Up Questions'!B16&gt;0,'Start Up Questions'!B16+2,0),0)</f>
        <v>0</v>
      </c>
      <c r="M12" t="s">
        <v>67</v>
      </c>
      <c r="O12" t="s">
        <v>65</v>
      </c>
      <c r="P12" s="23">
        <f>ROUNDUP(IF('Start Up Questions'!B16&gt;0,'Start Up Questions'!B16+2,0),0)</f>
        <v>0</v>
      </c>
      <c r="Q12" t="s">
        <v>67</v>
      </c>
    </row>
    <row r="14" spans="1:17" x14ac:dyDescent="0.25">
      <c r="B14" s="25"/>
      <c r="D14" s="87" t="s">
        <v>68</v>
      </c>
      <c r="E14" s="87"/>
      <c r="G14" s="83" t="s">
        <v>2</v>
      </c>
      <c r="H14" s="83"/>
      <c r="I14" s="83"/>
      <c r="K14" s="84" t="s">
        <v>3</v>
      </c>
      <c r="L14" s="84"/>
      <c r="M14" s="84"/>
      <c r="O14" s="85" t="s">
        <v>4</v>
      </c>
      <c r="P14" s="85"/>
      <c r="Q14" s="85"/>
    </row>
    <row r="15" spans="1:17" x14ac:dyDescent="0.25">
      <c r="A15" s="34">
        <v>2</v>
      </c>
      <c r="B15" s="69" t="s">
        <v>11</v>
      </c>
      <c r="C15" s="30"/>
      <c r="D15" s="34">
        <f>IF('Start Up Questions'!B12&gt;0,ROUNDUP(('Start Up Questions'!B12/('Start Up Questions'!B19+'Current Questions'!B9-'Current Questions'!B10-'Start Up Questions'!B13))*'Start Up Questions'!B12,0),0)</f>
        <v>0</v>
      </c>
      <c r="E15" s="30" t="s">
        <v>250</v>
      </c>
      <c r="G15" s="32" t="str">
        <f>IF(D15&gt;0,IF(D15&gt;=H15,"Y",IF(D16&gt;=H16,"Y","N")),"N")</f>
        <v>N</v>
      </c>
      <c r="H15" s="23">
        <f>IF('Start Up Questions'!B12&gt;0,ROUNDUP(('Start Up Questions'!B12+'Start Up Questions'!B20)*0.6,0),0)</f>
        <v>0</v>
      </c>
      <c r="I15" t="s">
        <v>66</v>
      </c>
      <c r="K15" s="68" t="str">
        <f>IF(D15&gt;0,IF(AND(D15&gt;=L17,D16&gt;=L18),"Y",IF(D15&gt;=L15,"Y","N")),"N")</f>
        <v>N</v>
      </c>
      <c r="L15" s="78">
        <f>IF('Start Up Questions'!B12&gt;0,ROUNDUP(('Start Up Questions'!B12+'Start Up Questions'!B20)*0.65,0),0)</f>
        <v>0</v>
      </c>
      <c r="M15" t="s">
        <v>66</v>
      </c>
      <c r="O15" s="35" t="str">
        <f>IF(D15&gt;0,IF(AND(D15&gt;=P17,D16&gt;=P18),"Y",IF(D15&gt;=P15,"Y","N")),"N")</f>
        <v>N</v>
      </c>
      <c r="P15" s="78">
        <f>IF('Start Up Questions'!B12&gt;0,ROUNDUP(('Start Up Questions'!B12+'Start Up Questions'!B20)*0.75,0),0)</f>
        <v>0</v>
      </c>
      <c r="Q15" t="s">
        <v>66</v>
      </c>
    </row>
    <row r="16" spans="1:17" x14ac:dyDescent="0.25">
      <c r="B16" t="str">
        <f>IF(O15="Y","Gold",IF(K15="Y","Silver",IF(G15="Y","Bronze"," ")))</f>
        <v xml:space="preserve"> </v>
      </c>
      <c r="D16" s="78">
        <f>IF('Start Up Questions'!B12&gt;0,ROUNDUP(('Start Up Questions'!B12/('Start Up Questions'!B19+'Current Questions'!B9-'Current Questions'!B10-'Start Up Questions'!B13))*100,0),0)</f>
        <v>0</v>
      </c>
      <c r="E16" t="s">
        <v>70</v>
      </c>
      <c r="F16" s="30"/>
      <c r="G16" t="s">
        <v>6</v>
      </c>
      <c r="H16" s="26">
        <f>ROUNDUP(IF('Start Up Questions'!B21&gt;0,'Start Up Questions'!B21+2,0),0)</f>
        <v>0</v>
      </c>
      <c r="I16" t="s">
        <v>249</v>
      </c>
      <c r="K16" t="s">
        <v>6</v>
      </c>
      <c r="O16" t="s">
        <v>6</v>
      </c>
    </row>
    <row r="17" spans="1:17" x14ac:dyDescent="0.25">
      <c r="D17" s="34"/>
      <c r="L17" s="26">
        <f>IF('Start Up Questions'!B12&gt;0,ROUNDUP(('Start Up Questions'!B12+'Start Up Questions'!B20)*0.6,0),0)</f>
        <v>0</v>
      </c>
      <c r="M17" t="s">
        <v>66</v>
      </c>
      <c r="P17" s="26">
        <f>IF('Start Up Questions'!B12&gt;0,ROUNDUP(('Start Up Questions'!B12+'Start Up Questions'!B20)*0.65,0),0)</f>
        <v>0</v>
      </c>
      <c r="Q17" t="s">
        <v>66</v>
      </c>
    </row>
    <row r="18" spans="1:17" x14ac:dyDescent="0.25">
      <c r="K18" t="s">
        <v>65</v>
      </c>
      <c r="L18" s="26">
        <f>ROUNDUP(IF('Start Up Questions'!B21&gt;0,'Start Up Questions'!B21+2,0),0)</f>
        <v>0</v>
      </c>
      <c r="M18" t="s">
        <v>249</v>
      </c>
      <c r="O18" t="s">
        <v>65</v>
      </c>
      <c r="P18" s="26">
        <f>ROUNDUP(IF('Start Up Questions'!B21&gt;0,'Start Up Questions'!B21+2,0),0)</f>
        <v>0</v>
      </c>
      <c r="Q18" t="s">
        <v>249</v>
      </c>
    </row>
    <row r="20" spans="1:17" x14ac:dyDescent="0.25">
      <c r="D20" s="87" t="s">
        <v>68</v>
      </c>
      <c r="E20" s="87"/>
      <c r="G20" s="83" t="s">
        <v>2</v>
      </c>
      <c r="H20" s="83"/>
      <c r="I20" s="83"/>
      <c r="K20" s="84" t="s">
        <v>3</v>
      </c>
      <c r="L20" s="84"/>
      <c r="M20" s="84"/>
      <c r="O20" s="85" t="s">
        <v>4</v>
      </c>
      <c r="P20" s="85"/>
      <c r="Q20" s="85"/>
    </row>
    <row r="21" spans="1:17" x14ac:dyDescent="0.25">
      <c r="A21" s="34">
        <v>3</v>
      </c>
      <c r="B21" s="69" t="s">
        <v>13</v>
      </c>
      <c r="D21" s="34">
        <f>'Current Questions'!B7</f>
        <v>0</v>
      </c>
      <c r="E21" s="30" t="s">
        <v>69</v>
      </c>
      <c r="G21" s="32" t="str">
        <f>IF(D21&gt;=H21,"Y",IF(D21&gt;=H22,"Y","N"))</f>
        <v>N</v>
      </c>
      <c r="H21" s="23">
        <f>'Start Up Questions'!B12+1</f>
        <v>1</v>
      </c>
      <c r="I21" t="s">
        <v>72</v>
      </c>
      <c r="K21" s="71" t="str">
        <f>IF(D21&gt;0,IF(D21&gt;=L21,"Y",IF(D21&gt;=L22,"Y","N")),"N")</f>
        <v>N</v>
      </c>
      <c r="L21" s="31">
        <f>ROUNDUP('Start Up Questions'!B12*1.05,0)</f>
        <v>0</v>
      </c>
      <c r="M21" t="s">
        <v>72</v>
      </c>
      <c r="O21" s="35" t="str">
        <f>IF(D21&gt;0,IF(D21&gt;=P21,"Y",IF(AND(D21&gt;=P22,D21&gt;'Start Up Questions'!B12),"Y","N")),"N")</f>
        <v>N</v>
      </c>
      <c r="P21" s="31">
        <f>ROUNDUP('Start Up Questions'!B12*1.1,0)</f>
        <v>0</v>
      </c>
      <c r="Q21" t="s">
        <v>72</v>
      </c>
    </row>
    <row r="22" spans="1:17" x14ac:dyDescent="0.25">
      <c r="B22" t="str">
        <f>IF(O21="Y","Gold",IF(K21="Y","Silver",IF(G21="Y","Bronze"," ")))</f>
        <v xml:space="preserve"> </v>
      </c>
      <c r="G22" t="s">
        <v>6</v>
      </c>
      <c r="H22" s="23">
        <v>27</v>
      </c>
      <c r="I22" t="s">
        <v>71</v>
      </c>
      <c r="K22" t="s">
        <v>6</v>
      </c>
      <c r="L22" s="23">
        <v>40</v>
      </c>
      <c r="M22" t="s">
        <v>203</v>
      </c>
      <c r="O22" t="s">
        <v>6</v>
      </c>
      <c r="P22" s="23">
        <v>60</v>
      </c>
      <c r="Q22" t="s">
        <v>166</v>
      </c>
    </row>
    <row r="24" spans="1:17" x14ac:dyDescent="0.25">
      <c r="D24" s="87" t="s">
        <v>68</v>
      </c>
      <c r="E24" s="87"/>
      <c r="G24" s="83" t="s">
        <v>2</v>
      </c>
      <c r="H24" s="83"/>
      <c r="I24" s="83"/>
      <c r="K24" s="84" t="s">
        <v>3</v>
      </c>
      <c r="L24" s="84"/>
      <c r="M24" s="84"/>
      <c r="O24" s="85" t="s">
        <v>4</v>
      </c>
      <c r="P24" s="85"/>
      <c r="Q24" s="85"/>
    </row>
    <row r="25" spans="1:17" x14ac:dyDescent="0.25">
      <c r="A25" s="34">
        <v>4</v>
      </c>
      <c r="B25" s="70" t="s">
        <v>15</v>
      </c>
      <c r="D25" s="34">
        <f>'Current Questions'!B17</f>
        <v>0</v>
      </c>
      <c r="E25" s="30" t="s">
        <v>74</v>
      </c>
      <c r="G25" s="32" t="str">
        <f>IF(D25&gt;=H25,"Y","N")</f>
        <v>N</v>
      </c>
      <c r="H25" s="31">
        <v>3</v>
      </c>
      <c r="I25" t="s">
        <v>73</v>
      </c>
      <c r="K25" s="33" t="str">
        <f>IF(D25&gt;=L25,"Y","N")</f>
        <v>N</v>
      </c>
      <c r="L25" s="31">
        <v>4</v>
      </c>
      <c r="M25" t="s">
        <v>73</v>
      </c>
      <c r="O25" s="35" t="str">
        <f>IF(D25&gt;=P25,"Y","N")</f>
        <v>N</v>
      </c>
      <c r="P25" s="31">
        <v>5</v>
      </c>
      <c r="Q25" t="s">
        <v>73</v>
      </c>
    </row>
    <row r="26" spans="1:17" x14ac:dyDescent="0.25">
      <c r="B26" t="str">
        <f>IF(O25="Y","Gold",IF(K25="Y","Silver",IF(G25="Y","Bronze"," ")))</f>
        <v xml:space="preserve"> </v>
      </c>
    </row>
    <row r="28" spans="1:17" x14ac:dyDescent="0.25">
      <c r="A28" s="34">
        <v>5</v>
      </c>
      <c r="B28" s="69" t="s">
        <v>75</v>
      </c>
      <c r="D28" s="87" t="s">
        <v>68</v>
      </c>
      <c r="E28" s="87"/>
      <c r="G28" s="83" t="s">
        <v>2</v>
      </c>
      <c r="H28" s="83"/>
      <c r="I28" s="83"/>
      <c r="K28" s="84" t="s">
        <v>3</v>
      </c>
      <c r="L28" s="84"/>
      <c r="M28" s="84"/>
      <c r="O28" s="85" t="s">
        <v>4</v>
      </c>
      <c r="P28" s="85"/>
      <c r="Q28" s="85"/>
    </row>
    <row r="29" spans="1:17" ht="15" customHeight="1" x14ac:dyDescent="0.25">
      <c r="B29" t="str">
        <f>IF(O29="Y","Gold",IF(K29="Y","Silver",IF(G29="Y","Bronze"," ")))</f>
        <v xml:space="preserve"> </v>
      </c>
      <c r="D29" s="88" t="s">
        <v>97</v>
      </c>
      <c r="E29" s="88"/>
      <c r="G29" s="32" t="str">
        <f>IF(AND(H29="Y",H30="Y",H31="Y"),"Y","N")</f>
        <v>N</v>
      </c>
      <c r="H29" s="31" t="str">
        <f>IF('Current Questions'!B27="Y","Y","N")</f>
        <v>N</v>
      </c>
      <c r="I29" t="s">
        <v>168</v>
      </c>
      <c r="K29" s="33" t="str">
        <f>IF(AND(L29="Y",L30="Y",L31="Y"),"Y","N")</f>
        <v>N</v>
      </c>
      <c r="L29" s="31" t="str">
        <f>G29</f>
        <v>N</v>
      </c>
      <c r="M29" t="s">
        <v>92</v>
      </c>
      <c r="O29" s="35" t="str">
        <f>IF(AND(P29="Y",P30="Y"),"Y","N")</f>
        <v>N</v>
      </c>
      <c r="P29" s="31" t="str">
        <f>K29</f>
        <v>N</v>
      </c>
      <c r="Q29" t="s">
        <v>93</v>
      </c>
    </row>
    <row r="30" spans="1:17" ht="15" customHeight="1" x14ac:dyDescent="0.25">
      <c r="D30" s="88"/>
      <c r="E30" s="88"/>
      <c r="H30" s="23" t="str">
        <f>IF('Current Questions'!B29="Y","Y","N")</f>
        <v>N</v>
      </c>
      <c r="I30" t="s">
        <v>169</v>
      </c>
      <c r="L30" s="72" t="str">
        <f>'Current Questions'!B28</f>
        <v>n</v>
      </c>
      <c r="M30" s="75" t="s">
        <v>170</v>
      </c>
      <c r="P30" s="90" t="str">
        <f>IF('Current Questions'!B31&gt;0,IF('Current Questions'!B32/'Current Questions'!B31&gt;=0.67,"Y","N"),"N")</f>
        <v>N</v>
      </c>
      <c r="Q30" s="89" t="s">
        <v>172</v>
      </c>
    </row>
    <row r="31" spans="1:17" x14ac:dyDescent="0.25">
      <c r="D31" s="88"/>
      <c r="E31" s="88"/>
      <c r="H31" s="23" t="str">
        <f>IF('Current Questions'!B31&gt;=3,"Y","N")</f>
        <v>N</v>
      </c>
      <c r="I31" t="s">
        <v>77</v>
      </c>
      <c r="L31" s="72" t="str">
        <f>'Current Questions'!B30</f>
        <v>n</v>
      </c>
      <c r="M31" s="75" t="s">
        <v>171</v>
      </c>
      <c r="P31" s="90"/>
      <c r="Q31" s="89"/>
    </row>
    <row r="32" spans="1:17" x14ac:dyDescent="0.25">
      <c r="D32" s="88"/>
      <c r="E32" s="88"/>
    </row>
    <row r="34" spans="1:17" x14ac:dyDescent="0.25">
      <c r="D34" s="87" t="s">
        <v>68</v>
      </c>
      <c r="E34" s="87"/>
      <c r="G34" s="83" t="s">
        <v>2</v>
      </c>
      <c r="H34" s="83"/>
      <c r="I34" s="83"/>
      <c r="K34" s="84" t="s">
        <v>3</v>
      </c>
      <c r="L34" s="84"/>
      <c r="M34" s="84"/>
      <c r="O34" s="85" t="s">
        <v>4</v>
      </c>
      <c r="P34" s="85"/>
      <c r="Q34" s="85"/>
    </row>
    <row r="35" spans="1:17" x14ac:dyDescent="0.25">
      <c r="A35" s="34">
        <v>6</v>
      </c>
      <c r="B35" s="69" t="s">
        <v>18</v>
      </c>
      <c r="D35" s="34">
        <f>'Current Questions'!B18</f>
        <v>0</v>
      </c>
      <c r="E35" s="30" t="s">
        <v>69</v>
      </c>
      <c r="G35" s="32" t="str">
        <f>IF(D35&gt;0,IF(D35&gt;=H35,"Y",IF(D36&gt;=H36,"Y","N")),"N")</f>
        <v>N</v>
      </c>
      <c r="H35" s="31">
        <f>ROUNDUP('Current Questions'!B8*0.33,0)</f>
        <v>0</v>
      </c>
      <c r="I35" t="s">
        <v>79</v>
      </c>
      <c r="K35" s="33" t="str">
        <f>IF(D35&gt;0,IF(AND(D35&gt;=L37,D36&gt;=L38),"Y",IF(D35&gt;=L35,"Y","N")),"N")</f>
        <v>N</v>
      </c>
      <c r="L35" s="31">
        <f>ROUNDUP('Current Questions'!B8*0.5,0)</f>
        <v>0</v>
      </c>
      <c r="M35" t="s">
        <v>79</v>
      </c>
      <c r="O35" s="35" t="str">
        <f>IF(D35&gt;0,(IF(AND(D35&gt;=P37,D36&gt;=P38),"Y",IF(D35&gt;=P35,"Y","N"))),"N")</f>
        <v>N</v>
      </c>
      <c r="P35" s="31">
        <f>ROUNDUP('Current Questions'!B8*0.75,0)</f>
        <v>0</v>
      </c>
      <c r="Q35" t="s">
        <v>79</v>
      </c>
    </row>
    <row r="36" spans="1:17" x14ac:dyDescent="0.25">
      <c r="B36" t="str">
        <f>IF(O35="Y","Gold",IF(K35="Y","Silver",IF(G35="Y","Bronze"," ")))</f>
        <v xml:space="preserve"> </v>
      </c>
      <c r="D36" s="34">
        <f>IF('Current Questions'!B8&gt;0,ROUND(('Current Questions'!B18/'Current Questions'!B8)*100,0),0)</f>
        <v>0</v>
      </c>
      <c r="E36" s="30" t="s">
        <v>70</v>
      </c>
      <c r="G36" t="s">
        <v>6</v>
      </c>
      <c r="H36" s="23">
        <f>ROUNDUP(IF('Start Up Questions'!B31&gt;0,'Start Up Questions'!B31+2,0),0)</f>
        <v>0</v>
      </c>
      <c r="I36" t="s">
        <v>78</v>
      </c>
      <c r="K36" t="s">
        <v>6</v>
      </c>
      <c r="O36" t="s">
        <v>6</v>
      </c>
    </row>
    <row r="37" spans="1:17" x14ac:dyDescent="0.25">
      <c r="L37" s="31">
        <f>ROUNDUP('Current Questions'!B8*0.33,0)</f>
        <v>0</v>
      </c>
      <c r="M37" t="s">
        <v>79</v>
      </c>
      <c r="P37" s="31">
        <f>ROUNDUP('Current Questions'!B8*0.5,0)</f>
        <v>0</v>
      </c>
      <c r="Q37" t="s">
        <v>79</v>
      </c>
    </row>
    <row r="38" spans="1:17" x14ac:dyDescent="0.25">
      <c r="D38" s="31"/>
      <c r="H38" s="31"/>
      <c r="K38" t="s">
        <v>65</v>
      </c>
      <c r="L38" s="31">
        <f>ROUNDUP(IF('Start Up Questions'!B31&gt;0,'Start Up Questions'!B31+2,0),0)</f>
        <v>0</v>
      </c>
      <c r="M38" t="s">
        <v>78</v>
      </c>
      <c r="O38" t="s">
        <v>65</v>
      </c>
      <c r="P38" s="31">
        <f>ROUNDUP(IF('Start Up Questions'!B31&gt;0,'Start Up Questions'!B31+2,0),0)</f>
        <v>0</v>
      </c>
      <c r="Q38" t="s">
        <v>78</v>
      </c>
    </row>
    <row r="39" spans="1:17" x14ac:dyDescent="0.25">
      <c r="D39" s="31"/>
      <c r="H39" s="31"/>
    </row>
    <row r="40" spans="1:17" x14ac:dyDescent="0.25">
      <c r="D40" s="87" t="s">
        <v>68</v>
      </c>
      <c r="E40" s="87"/>
      <c r="G40" s="83" t="s">
        <v>2</v>
      </c>
      <c r="H40" s="83"/>
      <c r="I40" s="83"/>
      <c r="K40" s="84" t="s">
        <v>3</v>
      </c>
      <c r="L40" s="84"/>
      <c r="M40" s="84"/>
      <c r="O40" s="85" t="s">
        <v>4</v>
      </c>
      <c r="P40" s="85"/>
      <c r="Q40" s="85"/>
    </row>
    <row r="41" spans="1:17" x14ac:dyDescent="0.25">
      <c r="A41" s="34">
        <v>7</v>
      </c>
      <c r="B41" s="70" t="s">
        <v>20</v>
      </c>
      <c r="D41" s="34">
        <f>'Current Questions'!B22</f>
        <v>0</v>
      </c>
      <c r="E41" s="30" t="s">
        <v>83</v>
      </c>
      <c r="G41" s="32" t="str">
        <f>IF(AND(D41&gt;=H41,H42="Y",H43="Y"),"Y","N")</f>
        <v>N</v>
      </c>
      <c r="H41" s="31">
        <v>2</v>
      </c>
      <c r="I41" t="s">
        <v>80</v>
      </c>
      <c r="K41" s="33" t="str">
        <f>IF(AND(L41="Y",D41&gt;=L42),"Y","N")</f>
        <v>N</v>
      </c>
      <c r="L41" s="31" t="str">
        <f>G41</f>
        <v>N</v>
      </c>
      <c r="M41" t="s">
        <v>94</v>
      </c>
      <c r="O41" s="35" t="str">
        <f>IF(AND(P41="Y",D41&gt;=P42),"Y","N")</f>
        <v>N</v>
      </c>
      <c r="P41" s="31" t="str">
        <f>K41</f>
        <v>N</v>
      </c>
      <c r="Q41" t="s">
        <v>95</v>
      </c>
    </row>
    <row r="42" spans="1:17" x14ac:dyDescent="0.25">
      <c r="B42" t="str">
        <f>IF(O41="Y","Gold",IF(K41="Y","Silver",IF(G41="Y","Bronze"," ")))</f>
        <v xml:space="preserve"> </v>
      </c>
      <c r="H42" s="23" t="str">
        <f>IF('Current Questions'!B23="Y","Y","N")</f>
        <v>N</v>
      </c>
      <c r="I42" t="s">
        <v>81</v>
      </c>
      <c r="L42" s="23">
        <v>3</v>
      </c>
      <c r="M42" t="s">
        <v>80</v>
      </c>
      <c r="P42" s="23">
        <v>4</v>
      </c>
      <c r="Q42" t="s">
        <v>80</v>
      </c>
    </row>
    <row r="43" spans="1:17" x14ac:dyDescent="0.25">
      <c r="D43" s="31"/>
      <c r="H43" s="31" t="str">
        <f>IF('Current Questions'!B24="Y","Y","N")</f>
        <v>N</v>
      </c>
      <c r="I43" t="s">
        <v>82</v>
      </c>
      <c r="L43" s="31"/>
      <c r="P43" s="31"/>
    </row>
    <row r="44" spans="1:17" x14ac:dyDescent="0.25">
      <c r="D44" s="31"/>
      <c r="H44" s="31"/>
      <c r="L44" s="31"/>
      <c r="P44" s="31"/>
    </row>
    <row r="45" spans="1:17" x14ac:dyDescent="0.25">
      <c r="D45" s="87" t="s">
        <v>68</v>
      </c>
      <c r="E45" s="87"/>
      <c r="G45" s="83" t="s">
        <v>2</v>
      </c>
      <c r="H45" s="83"/>
      <c r="I45" s="83"/>
      <c r="K45" s="84" t="s">
        <v>3</v>
      </c>
      <c r="L45" s="84"/>
      <c r="M45" s="84"/>
      <c r="O45" s="85" t="s">
        <v>4</v>
      </c>
      <c r="P45" s="85"/>
      <c r="Q45" s="85"/>
    </row>
    <row r="46" spans="1:17" ht="15" customHeight="1" x14ac:dyDescent="0.25">
      <c r="A46" s="34">
        <v>8</v>
      </c>
      <c r="B46" s="70" t="s">
        <v>84</v>
      </c>
      <c r="D46" s="88" t="s">
        <v>97</v>
      </c>
      <c r="E46" s="88"/>
      <c r="G46" s="32" t="str">
        <f>H46</f>
        <v>N</v>
      </c>
      <c r="H46" s="90" t="str">
        <f>IF('Current Questions'!B33="Y","Y","N")</f>
        <v>N</v>
      </c>
      <c r="I46" s="89" t="s">
        <v>242</v>
      </c>
      <c r="K46" s="33" t="str">
        <f>IF(AND(L46="Y",L47="Y"),"Y","N")</f>
        <v>N</v>
      </c>
      <c r="L46" s="31" t="str">
        <f>G46</f>
        <v>N</v>
      </c>
      <c r="M46" t="s">
        <v>94</v>
      </c>
      <c r="O46" s="35" t="str">
        <f>IF(AND(P46="Y",P47="Y"),"Y","N")</f>
        <v>N</v>
      </c>
      <c r="P46" s="31" t="str">
        <f>K46</f>
        <v>N</v>
      </c>
      <c r="Q46" t="s">
        <v>95</v>
      </c>
    </row>
    <row r="47" spans="1:17" x14ac:dyDescent="0.25">
      <c r="B47" t="str">
        <f>IF(O46="Y","Gold",IF(K46="Y","Silver",IF(G46="Y","Bronze"," ")))</f>
        <v xml:space="preserve"> </v>
      </c>
      <c r="D47" s="88"/>
      <c r="E47" s="88"/>
      <c r="H47" s="90"/>
      <c r="I47" s="89"/>
      <c r="L47" s="31" t="str">
        <f>IF('Current Questions'!B11="Y","Y","N")</f>
        <v>N</v>
      </c>
      <c r="M47" t="s">
        <v>243</v>
      </c>
      <c r="P47" s="90" t="str">
        <f>IF('Current Questions'!B34="Y","Y","N")</f>
        <v>N</v>
      </c>
      <c r="Q47" s="89" t="s">
        <v>244</v>
      </c>
    </row>
    <row r="48" spans="1:17" x14ac:dyDescent="0.25">
      <c r="D48" s="88"/>
      <c r="E48" s="88"/>
      <c r="H48" s="90"/>
      <c r="I48" s="89"/>
      <c r="L48" s="31"/>
      <c r="P48" s="90"/>
      <c r="Q48" s="89"/>
    </row>
    <row r="49" spans="1:17" x14ac:dyDescent="0.25">
      <c r="D49" s="31"/>
      <c r="H49" s="31"/>
      <c r="L49" s="31"/>
      <c r="P49" s="31"/>
    </row>
    <row r="50" spans="1:17" x14ac:dyDescent="0.25">
      <c r="D50" s="87" t="s">
        <v>68</v>
      </c>
      <c r="E50" s="87"/>
      <c r="G50" s="83" t="s">
        <v>2</v>
      </c>
      <c r="H50" s="83"/>
      <c r="I50" s="83"/>
      <c r="K50" s="84" t="s">
        <v>3</v>
      </c>
      <c r="L50" s="84"/>
      <c r="M50" s="84"/>
      <c r="O50" s="85" t="s">
        <v>4</v>
      </c>
      <c r="P50" s="85"/>
      <c r="Q50" s="85"/>
    </row>
    <row r="51" spans="1:17" x14ac:dyDescent="0.25">
      <c r="A51" s="34">
        <v>9</v>
      </c>
      <c r="B51" s="69" t="s">
        <v>23</v>
      </c>
      <c r="D51" s="34">
        <f>'Current Questions'!B38</f>
        <v>0</v>
      </c>
      <c r="E51" s="30" t="s">
        <v>74</v>
      </c>
      <c r="G51" s="32" t="str">
        <f>IF('Start Up Questions'!B28=0,"Y",IF(AND(D51&gt;=H51,H52="Y"),"Y","N"))</f>
        <v>Y</v>
      </c>
      <c r="H51" s="31">
        <v>2</v>
      </c>
      <c r="I51" t="s">
        <v>85</v>
      </c>
      <c r="K51" s="33" t="str">
        <f>IF(D52&gt;0,IF(AND(L51="Y",D52&gt;=L52),"Y","N"),"N")</f>
        <v>N</v>
      </c>
      <c r="L51" s="23" t="str">
        <f>G51</f>
        <v>Y</v>
      </c>
      <c r="M51" t="s">
        <v>92</v>
      </c>
      <c r="O51" s="35" t="str">
        <f>IF(D52&gt;0,IF(AND(P51="Y",D52&gt;=P52,P53="Y"),"Y","N"),"N")</f>
        <v>N</v>
      </c>
      <c r="P51" s="31" t="str">
        <f>G51</f>
        <v>Y</v>
      </c>
      <c r="Q51" t="s">
        <v>92</v>
      </c>
    </row>
    <row r="52" spans="1:17" x14ac:dyDescent="0.25">
      <c r="B52" t="str">
        <f>IF(O51="Y","Gold",IF(K51="Y","Silver",IF(G51="Y","Bronze"," ")))</f>
        <v>Bronze</v>
      </c>
      <c r="D52" s="82">
        <f>'Current Questions'!B40</f>
        <v>0</v>
      </c>
      <c r="E52" s="88" t="s">
        <v>88</v>
      </c>
      <c r="H52" s="90" t="str">
        <f>IF('Current Questions'!B39="Y","Y","N")</f>
        <v>N</v>
      </c>
      <c r="I52" s="89" t="s">
        <v>86</v>
      </c>
      <c r="L52" s="31">
        <f>ROUNDUP('Start Up Questions'!B13*0.6,0)</f>
        <v>0</v>
      </c>
      <c r="M52" t="s">
        <v>87</v>
      </c>
      <c r="P52" s="31">
        <f>ROUNDUP('Start Up Questions'!B13*0.8,0)</f>
        <v>0</v>
      </c>
      <c r="Q52" t="s">
        <v>87</v>
      </c>
    </row>
    <row r="53" spans="1:17" x14ac:dyDescent="0.25">
      <c r="A53" s="36"/>
      <c r="D53" s="82"/>
      <c r="E53" s="88"/>
      <c r="H53" s="90"/>
      <c r="I53" s="89"/>
      <c r="L53" s="36"/>
      <c r="P53" s="36" t="str">
        <f>'Current Questions'!B35</f>
        <v>N</v>
      </c>
      <c r="Q53" t="s">
        <v>245</v>
      </c>
    </row>
    <row r="54" spans="1:17" x14ac:dyDescent="0.25">
      <c r="A54" s="36"/>
      <c r="D54" s="82"/>
      <c r="E54" s="88"/>
      <c r="H54" s="36"/>
      <c r="L54" s="36"/>
      <c r="P54" s="36"/>
    </row>
    <row r="55" spans="1:17" x14ac:dyDescent="0.25">
      <c r="A55" s="36"/>
      <c r="D55" s="36"/>
      <c r="H55" s="36"/>
      <c r="L55" s="36"/>
      <c r="P55" s="36"/>
    </row>
    <row r="56" spans="1:17" x14ac:dyDescent="0.25">
      <c r="A56" s="36"/>
      <c r="D56" s="87" t="s">
        <v>68</v>
      </c>
      <c r="E56" s="87"/>
      <c r="G56" s="83" t="s">
        <v>2</v>
      </c>
      <c r="H56" s="83"/>
      <c r="I56" s="83"/>
      <c r="K56" s="84" t="s">
        <v>3</v>
      </c>
      <c r="L56" s="84"/>
      <c r="M56" s="84"/>
      <c r="O56" s="85" t="s">
        <v>4</v>
      </c>
      <c r="P56" s="85"/>
      <c r="Q56" s="85"/>
    </row>
    <row r="57" spans="1:17" x14ac:dyDescent="0.25">
      <c r="A57" s="34">
        <v>10</v>
      </c>
      <c r="B57" s="69" t="s">
        <v>25</v>
      </c>
      <c r="D57" s="88" t="s">
        <v>97</v>
      </c>
      <c r="E57" s="88"/>
      <c r="G57" s="37" t="str">
        <f>IF(AND(H57="Y",H58="Y",H59="Y"),"Y","N")</f>
        <v>N</v>
      </c>
      <c r="H57" s="36" t="str">
        <f>IF('Start Up Questions'!B34="Y","Y","N")</f>
        <v>N</v>
      </c>
      <c r="I57" t="s">
        <v>89</v>
      </c>
      <c r="K57" s="38" t="str">
        <f>IF(AND(L57="Y",L58="Y"),"Y","N")</f>
        <v>N</v>
      </c>
      <c r="L57" s="36" t="str">
        <f>G57</f>
        <v>N</v>
      </c>
      <c r="M57" t="s">
        <v>94</v>
      </c>
      <c r="O57" s="39" t="str">
        <f>IF(AND(P57="Y",P58="Y"),"Y","N")</f>
        <v>N</v>
      </c>
      <c r="P57" s="36" t="str">
        <f>K57</f>
        <v>N</v>
      </c>
      <c r="Q57" t="s">
        <v>95</v>
      </c>
    </row>
    <row r="58" spans="1:17" ht="15" customHeight="1" x14ac:dyDescent="0.25">
      <c r="A58" s="36"/>
      <c r="B58" t="str">
        <f>IF(O57="Y","Gold",IF(K57="Y","Silver",IF(G57="Y","Bronze"," ")))</f>
        <v xml:space="preserve"> </v>
      </c>
      <c r="D58" s="88"/>
      <c r="E58" s="88"/>
      <c r="H58" s="36" t="str">
        <f>IF('Start Up Questions'!B35="Y","Y","N")</f>
        <v>N</v>
      </c>
      <c r="I58" t="s">
        <v>91</v>
      </c>
      <c r="L58" s="36" t="str">
        <f>IF('Start Up Questions'!B36="Y","Y","N")</f>
        <v>N</v>
      </c>
      <c r="M58" t="s">
        <v>96</v>
      </c>
      <c r="P58" s="90" t="str">
        <f>IF('Current Questions'!B44="Y","Y","N")</f>
        <v>N</v>
      </c>
      <c r="Q58" s="89" t="s">
        <v>167</v>
      </c>
    </row>
    <row r="59" spans="1:17" x14ac:dyDescent="0.25">
      <c r="A59" s="36"/>
      <c r="D59" s="88"/>
      <c r="E59" s="88"/>
      <c r="H59" s="36" t="str">
        <f>IF('Current Questions'!B43="Y","Y","N")</f>
        <v>N</v>
      </c>
      <c r="I59" t="s">
        <v>90</v>
      </c>
      <c r="L59" s="36"/>
      <c r="P59" s="90"/>
      <c r="Q59" s="89"/>
    </row>
    <row r="60" spans="1:17" x14ac:dyDescent="0.25">
      <c r="A60" s="36"/>
      <c r="D60" s="36"/>
      <c r="H60" s="36"/>
      <c r="L60" s="36"/>
      <c r="P60" s="36"/>
      <c r="Q60" s="89"/>
    </row>
    <row r="61" spans="1:17" x14ac:dyDescent="0.25">
      <c r="A61" s="78"/>
      <c r="D61" s="78"/>
      <c r="H61" s="78"/>
      <c r="L61" s="78"/>
      <c r="P61" s="78"/>
      <c r="Q61" s="77"/>
    </row>
    <row r="62" spans="1:17" x14ac:dyDescent="0.25">
      <c r="A62" s="36"/>
      <c r="D62" s="87" t="s">
        <v>68</v>
      </c>
      <c r="E62" s="87"/>
      <c r="G62" s="83" t="s">
        <v>2</v>
      </c>
      <c r="H62" s="83"/>
      <c r="I62" s="83"/>
      <c r="K62" s="84" t="s">
        <v>3</v>
      </c>
      <c r="L62" s="84"/>
      <c r="M62" s="84"/>
      <c r="O62" s="85" t="s">
        <v>4</v>
      </c>
      <c r="P62" s="85"/>
      <c r="Q62" s="85"/>
    </row>
    <row r="63" spans="1:17" x14ac:dyDescent="0.25">
      <c r="A63" s="34">
        <v>11</v>
      </c>
      <c r="B63" s="69" t="s">
        <v>99</v>
      </c>
      <c r="D63" s="34">
        <f>'Current Questions'!B48</f>
        <v>0</v>
      </c>
      <c r="E63" s="30" t="s">
        <v>102</v>
      </c>
      <c r="G63" s="37" t="str">
        <f>IF(D63&gt;0,IF(AND(D63&gt;=H63,H64="Y",H65="Y"),"Y","N"),"N")</f>
        <v>N</v>
      </c>
      <c r="H63" s="36">
        <v>9</v>
      </c>
      <c r="I63" t="s">
        <v>100</v>
      </c>
      <c r="K63" s="38" t="str">
        <f>IF(AND(L63="Y",D67&gt;=L64,D64&gt;=L65),"Y","N")</f>
        <v>N</v>
      </c>
      <c r="L63" s="36" t="str">
        <f>G63</f>
        <v>N</v>
      </c>
      <c r="M63" t="s">
        <v>94</v>
      </c>
      <c r="O63" s="39" t="str">
        <f>IF(AND(P63="Y",P64="Y"),"Y","N")</f>
        <v>N</v>
      </c>
      <c r="P63" s="36" t="str">
        <f>G63</f>
        <v>N</v>
      </c>
      <c r="Q63" t="s">
        <v>94</v>
      </c>
    </row>
    <row r="64" spans="1:17" ht="15" customHeight="1" x14ac:dyDescent="0.25">
      <c r="A64" s="36"/>
      <c r="B64" t="str">
        <f>IF(O63="Y","Gold",IF(K63="Y","Silver",IF(G63="Y","Bronze"," ")))</f>
        <v xml:space="preserve"> </v>
      </c>
      <c r="D64" s="82">
        <f>IF(SUM('Start Up Questions'!B24:B28)&gt;0,(SUM('Current Questions'!B51,'Current Questions'!B52,'Current Questions'!B53,'Current Questions'!B54,'Current Questions'!B55)/SUM('Start Up Questions'!B24,'Start Up Questions'!B25,'Start Up Questions'!B26,'Start Up Questions'!B27,'Start Up Questions'!B28)),0)</f>
        <v>0</v>
      </c>
      <c r="E64" s="86" t="s">
        <v>204</v>
      </c>
      <c r="H64" s="36" t="str">
        <f>IF(AND('Current Questions'!B58="Y",'Current Questions'!B59="Y"),"Y","N")</f>
        <v>N</v>
      </c>
      <c r="I64" t="s">
        <v>108</v>
      </c>
      <c r="L64" s="36">
        <v>6</v>
      </c>
      <c r="M64" t="s">
        <v>101</v>
      </c>
      <c r="P64" s="36" t="str">
        <f>'Current Questions'!B19</f>
        <v>n</v>
      </c>
      <c r="Q64" t="s">
        <v>174</v>
      </c>
    </row>
    <row r="65" spans="1:17" ht="30" x14ac:dyDescent="0.25">
      <c r="A65" s="36"/>
      <c r="D65" s="82"/>
      <c r="E65" s="86"/>
      <c r="H65" s="72" t="str">
        <f>'Current Questions'!B47</f>
        <v>n</v>
      </c>
      <c r="I65" s="75" t="s">
        <v>247</v>
      </c>
      <c r="L65" s="72">
        <v>2</v>
      </c>
      <c r="M65" s="75" t="s">
        <v>173</v>
      </c>
      <c r="P65" s="36"/>
    </row>
    <row r="66" spans="1:17" ht="15" customHeight="1" x14ac:dyDescent="0.25">
      <c r="D66" s="82"/>
      <c r="E66" s="86"/>
      <c r="H66" s="31"/>
      <c r="L66" s="31"/>
      <c r="P66" s="31"/>
    </row>
    <row r="67" spans="1:17" ht="26.25" x14ac:dyDescent="0.25">
      <c r="A67" s="36"/>
      <c r="D67" s="41">
        <f>'Current Questions'!B49</f>
        <v>0</v>
      </c>
      <c r="E67" s="40" t="s">
        <v>28</v>
      </c>
      <c r="I67" s="75"/>
      <c r="L67" s="36"/>
      <c r="P67" s="36"/>
    </row>
    <row r="68" spans="1:17" x14ac:dyDescent="0.25">
      <c r="A68" s="36"/>
      <c r="D68" s="41"/>
      <c r="E68" s="40"/>
      <c r="H68" s="36"/>
      <c r="L68" s="36"/>
      <c r="P68" s="36"/>
    </row>
    <row r="69" spans="1:17" x14ac:dyDescent="0.25">
      <c r="A69" s="36"/>
      <c r="D69" s="87" t="s">
        <v>68</v>
      </c>
      <c r="E69" s="87"/>
      <c r="G69" s="83" t="s">
        <v>2</v>
      </c>
      <c r="H69" s="83"/>
      <c r="I69" s="83"/>
      <c r="K69" s="84" t="s">
        <v>3</v>
      </c>
      <c r="L69" s="84"/>
      <c r="M69" s="84"/>
      <c r="O69" s="85" t="s">
        <v>4</v>
      </c>
      <c r="P69" s="85"/>
      <c r="Q69" s="85"/>
    </row>
    <row r="70" spans="1:17" x14ac:dyDescent="0.25">
      <c r="A70" s="30">
        <v>12</v>
      </c>
      <c r="B70" s="69" t="s">
        <v>109</v>
      </c>
      <c r="D70" s="88" t="s">
        <v>97</v>
      </c>
      <c r="E70" s="88"/>
      <c r="G70" s="37" t="str">
        <f>IF(H70="Y","Y","N")</f>
        <v>N</v>
      </c>
      <c r="H70" s="36" t="str">
        <f>IF('Current Questions'!B62="Y","Y","N")</f>
        <v>N</v>
      </c>
      <c r="I70" s="42" t="s">
        <v>205</v>
      </c>
      <c r="K70" s="38" t="str">
        <f>IF(AND(L70="Y",L71="Y"),"Y","N")</f>
        <v>N</v>
      </c>
      <c r="L70" s="36" t="str">
        <f>G70</f>
        <v>N</v>
      </c>
      <c r="M70" t="s">
        <v>94</v>
      </c>
      <c r="O70" s="39" t="str">
        <f>IF(AND(P70="Y",P71="Y"),"Y","N")</f>
        <v>N</v>
      </c>
      <c r="P70" s="36" t="str">
        <f>K70</f>
        <v>N</v>
      </c>
      <c r="Q70" t="s">
        <v>95</v>
      </c>
    </row>
    <row r="71" spans="1:17" x14ac:dyDescent="0.25">
      <c r="A71" s="36"/>
      <c r="B71" t="str">
        <f>IF(O70="Y","Gold",IF(K70="Y","Silver",IF(G70="Y","Bronze"," ")))</f>
        <v xml:space="preserve"> </v>
      </c>
      <c r="D71" s="88"/>
      <c r="E71" s="88"/>
      <c r="H71" s="36"/>
      <c r="L71" s="90" t="str">
        <f>IF('Current Questions'!B63="Y","Y","N")</f>
        <v>N</v>
      </c>
      <c r="M71" s="89" t="s">
        <v>110</v>
      </c>
      <c r="P71" s="36" t="str">
        <f>IF('Current Questions'!B64="Y","Y","N")</f>
        <v>N</v>
      </c>
      <c r="Q71" t="s">
        <v>111</v>
      </c>
    </row>
    <row r="72" spans="1:17" x14ac:dyDescent="0.25">
      <c r="A72" s="36"/>
      <c r="D72" s="88"/>
      <c r="E72" s="88"/>
      <c r="H72" s="36"/>
      <c r="L72" s="90"/>
      <c r="M72" s="89"/>
      <c r="P72" s="36"/>
    </row>
    <row r="73" spans="1:17" x14ac:dyDescent="0.25">
      <c r="A73" s="36"/>
      <c r="D73" s="41"/>
      <c r="E73" s="40"/>
      <c r="H73" s="36"/>
      <c r="L73" s="36"/>
      <c r="P73" s="36"/>
    </row>
    <row r="74" spans="1:17" x14ac:dyDescent="0.25">
      <c r="D74" s="87" t="s">
        <v>68</v>
      </c>
      <c r="E74" s="87"/>
      <c r="G74" s="83" t="s">
        <v>2</v>
      </c>
      <c r="H74" s="83"/>
      <c r="I74" s="83"/>
      <c r="K74" s="84" t="s">
        <v>3</v>
      </c>
      <c r="L74" s="84"/>
      <c r="M74" s="84"/>
      <c r="O74" s="85" t="s">
        <v>4</v>
      </c>
      <c r="P74" s="85"/>
      <c r="Q74" s="85"/>
    </row>
    <row r="75" spans="1:17" x14ac:dyDescent="0.25">
      <c r="A75" s="30">
        <v>13</v>
      </c>
      <c r="B75" s="69" t="s">
        <v>113</v>
      </c>
      <c r="D75" s="31"/>
      <c r="G75" s="32" t="str">
        <f>H75</f>
        <v>N</v>
      </c>
      <c r="H75" s="31" t="str">
        <f>IF('Current Questions'!B67="Y","Y","N")</f>
        <v>N</v>
      </c>
      <c r="I75" t="s">
        <v>114</v>
      </c>
      <c r="K75" s="74" t="str">
        <f>IF(AND(L76="Y",L75="Y"),"Y","N")</f>
        <v>N</v>
      </c>
      <c r="L75" s="23" t="str">
        <f>G75</f>
        <v>N</v>
      </c>
      <c r="M75" t="s">
        <v>94</v>
      </c>
      <c r="O75" s="73" t="str">
        <f>IF(AND(P75="Y",P76="Y",P77="Y",P78="Y"),"Y","N")</f>
        <v>N</v>
      </c>
      <c r="P75" s="9" t="str">
        <f>K75</f>
        <v>N</v>
      </c>
      <c r="Q75" s="27" t="s">
        <v>95</v>
      </c>
    </row>
    <row r="76" spans="1:17" x14ac:dyDescent="0.25">
      <c r="B76" t="str">
        <f>IF(G75="Y","Bronze"," ")</f>
        <v xml:space="preserve"> </v>
      </c>
      <c r="L76" s="9" t="str">
        <f>'Current Questions'!B68</f>
        <v>N</v>
      </c>
      <c r="M76" s="27" t="s">
        <v>178</v>
      </c>
      <c r="P76" s="23" t="str">
        <f>'Current Questions'!B69</f>
        <v>n</v>
      </c>
      <c r="Q76" t="s">
        <v>179</v>
      </c>
    </row>
    <row r="77" spans="1:17" x14ac:dyDescent="0.25">
      <c r="A77" s="76"/>
      <c r="D77" s="76"/>
      <c r="H77" s="76"/>
      <c r="L77" s="9"/>
      <c r="M77" s="27"/>
      <c r="P77" s="76" t="str">
        <f>'Current Questions'!B71</f>
        <v>N</v>
      </c>
      <c r="Q77" t="s">
        <v>214</v>
      </c>
    </row>
    <row r="78" spans="1:17" x14ac:dyDescent="0.25">
      <c r="A78" s="76"/>
      <c r="D78" s="76"/>
      <c r="H78" s="76"/>
      <c r="L78" s="9"/>
      <c r="M78" s="27"/>
      <c r="P78" s="76" t="str">
        <f>'Current Questions'!B70</f>
        <v>n</v>
      </c>
      <c r="Q78" t="s">
        <v>215</v>
      </c>
    </row>
    <row r="80" spans="1:17" x14ac:dyDescent="0.25">
      <c r="A80" s="43"/>
      <c r="D80" s="87" t="s">
        <v>68</v>
      </c>
      <c r="E80" s="87"/>
      <c r="G80" s="83" t="s">
        <v>2</v>
      </c>
      <c r="H80" s="83"/>
      <c r="I80" s="83"/>
      <c r="K80" s="84" t="s">
        <v>3</v>
      </c>
      <c r="L80" s="84"/>
      <c r="M80" s="84"/>
      <c r="O80" s="85" t="s">
        <v>4</v>
      </c>
      <c r="P80" s="85"/>
      <c r="Q80" s="85"/>
    </row>
    <row r="81" spans="1:17" x14ac:dyDescent="0.25">
      <c r="A81" s="43"/>
      <c r="B81" s="30" t="s">
        <v>116</v>
      </c>
      <c r="D81" s="34">
        <f>13-H81-L81-P81</f>
        <v>12</v>
      </c>
      <c r="E81" s="30" t="s">
        <v>115</v>
      </c>
      <c r="G81" s="44"/>
      <c r="H81" s="43">
        <f>COUNTIF(B9:B76,"=Bronze")</f>
        <v>1</v>
      </c>
      <c r="I81" t="s">
        <v>117</v>
      </c>
      <c r="K81" s="45"/>
      <c r="L81" s="43">
        <f>COUNTIF(B9:B76,"=Silver")</f>
        <v>0</v>
      </c>
      <c r="M81" t="s">
        <v>117</v>
      </c>
      <c r="O81" s="46"/>
      <c r="P81" s="43">
        <f>COUNTIF(B9:B76,"=Gold")</f>
        <v>0</v>
      </c>
      <c r="Q81" t="s">
        <v>117</v>
      </c>
    </row>
    <row r="82" spans="1:17" ht="15.75" thickBot="1" x14ac:dyDescent="0.3">
      <c r="D82" s="79">
        <f>SUM(H81,L81,P81)</f>
        <v>1</v>
      </c>
      <c r="E82" s="30" t="s">
        <v>239</v>
      </c>
    </row>
    <row r="83" spans="1:17" ht="15.75" thickTop="1" x14ac:dyDescent="0.25">
      <c r="D83" s="34">
        <f>10-D82</f>
        <v>9</v>
      </c>
      <c r="E83" s="30" t="s">
        <v>240</v>
      </c>
    </row>
  </sheetData>
  <sheetProtection password="DD23" sheet="1" objects="1" scenarios="1" selectLockedCells="1"/>
  <mergeCells count="77">
    <mergeCell ref="B5:Q6"/>
    <mergeCell ref="O69:Q69"/>
    <mergeCell ref="M71:M72"/>
    <mergeCell ref="L71:L72"/>
    <mergeCell ref="D45:E45"/>
    <mergeCell ref="D50:E50"/>
    <mergeCell ref="D56:E56"/>
    <mergeCell ref="D20:E20"/>
    <mergeCell ref="D24:E24"/>
    <mergeCell ref="D28:E28"/>
    <mergeCell ref="D34:E34"/>
    <mergeCell ref="D40:E40"/>
    <mergeCell ref="D29:E32"/>
    <mergeCell ref="G28:I28"/>
    <mergeCell ref="O45:Q45"/>
    <mergeCell ref="I46:I48"/>
    <mergeCell ref="D80:E80"/>
    <mergeCell ref="G80:I80"/>
    <mergeCell ref="K80:M80"/>
    <mergeCell ref="O80:Q80"/>
    <mergeCell ref="D69:E69"/>
    <mergeCell ref="D70:E72"/>
    <mergeCell ref="G74:I74"/>
    <mergeCell ref="G69:I69"/>
    <mergeCell ref="K69:M69"/>
    <mergeCell ref="D74:E74"/>
    <mergeCell ref="K74:M74"/>
    <mergeCell ref="O74:Q74"/>
    <mergeCell ref="O40:Q40"/>
    <mergeCell ref="G34:I34"/>
    <mergeCell ref="K34:M34"/>
    <mergeCell ref="O34:Q34"/>
    <mergeCell ref="G40:I40"/>
    <mergeCell ref="K40:M40"/>
    <mergeCell ref="P30:P31"/>
    <mergeCell ref="O8:Q8"/>
    <mergeCell ref="G14:I14"/>
    <mergeCell ref="K14:M14"/>
    <mergeCell ref="O14:Q14"/>
    <mergeCell ref="K8:M8"/>
    <mergeCell ref="K20:M20"/>
    <mergeCell ref="O20:Q20"/>
    <mergeCell ref="G24:I24"/>
    <mergeCell ref="K24:M24"/>
    <mergeCell ref="O24:Q24"/>
    <mergeCell ref="K28:M28"/>
    <mergeCell ref="O28:Q28"/>
    <mergeCell ref="Q30:Q31"/>
    <mergeCell ref="D14:E14"/>
    <mergeCell ref="D46:E48"/>
    <mergeCell ref="D52:D54"/>
    <mergeCell ref="D8:E8"/>
    <mergeCell ref="G8:I8"/>
    <mergeCell ref="G50:I50"/>
    <mergeCell ref="G20:I20"/>
    <mergeCell ref="G45:I45"/>
    <mergeCell ref="H46:H48"/>
    <mergeCell ref="K45:M45"/>
    <mergeCell ref="K50:M50"/>
    <mergeCell ref="O50:Q50"/>
    <mergeCell ref="G56:I56"/>
    <mergeCell ref="D57:E59"/>
    <mergeCell ref="I52:I53"/>
    <mergeCell ref="H52:H53"/>
    <mergeCell ref="E52:E54"/>
    <mergeCell ref="K56:M56"/>
    <mergeCell ref="O56:Q56"/>
    <mergeCell ref="P58:P59"/>
    <mergeCell ref="Q58:Q60"/>
    <mergeCell ref="Q47:Q48"/>
    <mergeCell ref="P47:P48"/>
    <mergeCell ref="D64:D66"/>
    <mergeCell ref="G62:I62"/>
    <mergeCell ref="K62:M62"/>
    <mergeCell ref="O62:Q62"/>
    <mergeCell ref="E64:E66"/>
    <mergeCell ref="D62:E62"/>
  </mergeCells>
  <pageMargins left="0.45" right="0.45" top="0.5" bottom="0.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sheetPr>
  <dimension ref="A1:T27"/>
  <sheetViews>
    <sheetView workbookViewId="0">
      <selection activeCell="D26" sqref="D26"/>
    </sheetView>
  </sheetViews>
  <sheetFormatPr defaultRowHeight="15" x14ac:dyDescent="0.25"/>
  <cols>
    <col min="1" max="1" width="4.140625" style="4" customWidth="1"/>
    <col min="2" max="2" width="19.85546875" bestFit="1" customWidth="1"/>
    <col min="3" max="3" width="2.85546875" customWidth="1"/>
    <col min="4" max="4" width="9.7109375" style="1" bestFit="1" customWidth="1"/>
    <col min="5" max="5" width="3.140625" style="1" customWidth="1"/>
    <col min="6" max="6" width="9.140625" style="1"/>
    <col min="8" max="10" width="9.140625" style="1"/>
    <col min="11" max="11" width="5.42578125" customWidth="1"/>
    <col min="12" max="12" width="10.7109375" bestFit="1" customWidth="1"/>
  </cols>
  <sheetData>
    <row r="1" spans="1:20" x14ac:dyDescent="0.25">
      <c r="C1" s="1"/>
      <c r="G1" s="1"/>
      <c r="K1" s="1"/>
      <c r="L1" s="1"/>
      <c r="M1" s="1"/>
      <c r="N1" s="1"/>
      <c r="O1" s="1"/>
      <c r="P1" s="1"/>
      <c r="Q1" s="1"/>
    </row>
    <row r="2" spans="1:20" x14ac:dyDescent="0.25">
      <c r="C2" s="1"/>
      <c r="G2" s="1"/>
      <c r="K2" s="1"/>
      <c r="L2" s="1"/>
      <c r="M2" s="1"/>
      <c r="N2" s="1"/>
      <c r="O2" s="1"/>
      <c r="P2" s="1"/>
      <c r="Q2" s="1"/>
    </row>
    <row r="3" spans="1:20" x14ac:dyDescent="0.25">
      <c r="C3" s="1"/>
      <c r="G3" s="1"/>
      <c r="K3" s="1"/>
      <c r="L3" s="1"/>
      <c r="M3" s="1"/>
      <c r="N3" s="1"/>
      <c r="O3" s="1"/>
      <c r="P3" s="1"/>
      <c r="Q3" s="1"/>
    </row>
    <row r="4" spans="1:20" x14ac:dyDescent="0.25">
      <c r="C4" s="1"/>
      <c r="G4" s="1"/>
      <c r="K4" s="1"/>
      <c r="L4" s="1"/>
      <c r="M4" s="1"/>
      <c r="N4" s="1"/>
      <c r="O4" s="1"/>
      <c r="P4" s="1"/>
      <c r="Q4" s="1"/>
    </row>
    <row r="5" spans="1:20" ht="18.75" x14ac:dyDescent="0.3">
      <c r="A5" s="93" t="str">
        <f>"Pack "&amp;'Start Up Questions'!C9&amp;", "&amp;'Start Up Questions'!C8&amp;" District, "&amp;'Start Up Questions'!C7&amp;" Council"</f>
        <v>Pack ,  District,  Council</v>
      </c>
      <c r="B5" s="93"/>
      <c r="C5" s="93"/>
      <c r="D5" s="93"/>
      <c r="E5" s="93"/>
      <c r="F5" s="93"/>
      <c r="G5" s="93"/>
      <c r="H5" s="93"/>
      <c r="I5" s="93"/>
      <c r="J5" s="93"/>
      <c r="K5" s="93"/>
    </row>
    <row r="6" spans="1:20" x14ac:dyDescent="0.25">
      <c r="D6" s="1" t="s">
        <v>1</v>
      </c>
      <c r="F6" s="1" t="s">
        <v>8</v>
      </c>
      <c r="H6" s="92" t="s">
        <v>9</v>
      </c>
      <c r="I6" s="92"/>
      <c r="J6" s="92"/>
      <c r="K6" s="1"/>
      <c r="M6" s="8"/>
      <c r="N6" s="8"/>
      <c r="O6" s="8"/>
      <c r="P6" s="1"/>
      <c r="R6" s="7"/>
      <c r="S6" s="7"/>
      <c r="T6" s="7"/>
    </row>
    <row r="7" spans="1:20" x14ac:dyDescent="0.25">
      <c r="A7" s="92" t="s">
        <v>1</v>
      </c>
      <c r="B7" s="92"/>
      <c r="D7" s="1" t="s">
        <v>7</v>
      </c>
      <c r="F7" s="1" t="s">
        <v>7</v>
      </c>
      <c r="H7" s="5" t="s">
        <v>2</v>
      </c>
      <c r="I7" s="3" t="s">
        <v>3</v>
      </c>
      <c r="J7" s="6" t="s">
        <v>4</v>
      </c>
    </row>
    <row r="9" spans="1:20" x14ac:dyDescent="0.25">
      <c r="A9" s="13" t="s">
        <v>5</v>
      </c>
      <c r="B9" s="14" t="s">
        <v>0</v>
      </c>
      <c r="C9" s="14"/>
      <c r="D9" s="15" t="str">
        <f t="shared" ref="D9:D21" si="0">IF(F9&lt;&gt;"None","Yes","No")</f>
        <v>No</v>
      </c>
      <c r="E9" s="15"/>
      <c r="F9" s="15" t="str">
        <f>IF(Goals!O9="Y","Gold",IF(Goals!K9="Y","Silver",IF(Goals!G9="Y","Bronze","None")))</f>
        <v>None</v>
      </c>
      <c r="G9" s="14"/>
      <c r="H9" s="15">
        <f>IF(F9="Bronze",100,0)</f>
        <v>0</v>
      </c>
      <c r="I9" s="15">
        <f>IF(F9="Silver",200,0)</f>
        <v>0</v>
      </c>
      <c r="J9" s="15">
        <f>IF(F9="Gold",400,0)</f>
        <v>0</v>
      </c>
    </row>
    <row r="10" spans="1:20" x14ac:dyDescent="0.25">
      <c r="A10" s="4" t="s">
        <v>10</v>
      </c>
      <c r="B10" t="s">
        <v>11</v>
      </c>
      <c r="D10" s="1" t="str">
        <f t="shared" si="0"/>
        <v>No</v>
      </c>
      <c r="F10" s="15" t="str">
        <f>IF(Goals!O15="Y","Gold",IF(Goals!K15="Y","Silver",IF(Goals!G15="Y","Bronze","None")))</f>
        <v>None</v>
      </c>
      <c r="H10" s="1">
        <f>IF(F10="Bronze",100,0)</f>
        <v>0</v>
      </c>
      <c r="I10" s="1">
        <f>IF(F10="Silver",200,0)</f>
        <v>0</v>
      </c>
      <c r="J10" s="1">
        <f>IF(F10="Gold",400,0)</f>
        <v>0</v>
      </c>
    </row>
    <row r="11" spans="1:20" x14ac:dyDescent="0.25">
      <c r="A11" s="13" t="s">
        <v>12</v>
      </c>
      <c r="B11" s="14" t="s">
        <v>159</v>
      </c>
      <c r="C11" s="14"/>
      <c r="D11" s="15" t="str">
        <f t="shared" si="0"/>
        <v>No</v>
      </c>
      <c r="E11" s="15"/>
      <c r="F11" s="15" t="str">
        <f>IF(Goals!O21="Y","Gold",IF(Goals!K21="Y","Silver",IF(Goals!G21="Y","Bronze","None")))</f>
        <v>None</v>
      </c>
      <c r="G11" s="14"/>
      <c r="H11" s="15">
        <f>IF(F11="Bronze",75,0)</f>
        <v>0</v>
      </c>
      <c r="I11" s="15">
        <f>IF(F11="Silver",150,0)</f>
        <v>0</v>
      </c>
      <c r="J11" s="15">
        <f>IF(F11="Gold",300,0)</f>
        <v>0</v>
      </c>
    </row>
    <row r="12" spans="1:20" x14ac:dyDescent="0.25">
      <c r="A12" s="4" t="s">
        <v>14</v>
      </c>
      <c r="B12" t="s">
        <v>15</v>
      </c>
      <c r="D12" s="1" t="str">
        <f t="shared" si="0"/>
        <v>No</v>
      </c>
      <c r="F12" s="15" t="str">
        <f>IF(Goals!O25="Y","Gold",IF(Goals!K25="Y","Silver",IF(Goals!G25="Y","Bronze","None")))</f>
        <v>None</v>
      </c>
      <c r="H12" s="1">
        <f>IF(F12="Bronze",75,0)</f>
        <v>0</v>
      </c>
      <c r="I12" s="1">
        <f>IF(F12="Silver",150,0)</f>
        <v>0</v>
      </c>
      <c r="J12" s="1">
        <f>IF(F12="Gold",300,0)</f>
        <v>0</v>
      </c>
    </row>
    <row r="13" spans="1:20" x14ac:dyDescent="0.25">
      <c r="A13" s="13" t="s">
        <v>16</v>
      </c>
      <c r="B13" s="14" t="s">
        <v>75</v>
      </c>
      <c r="C13" s="14"/>
      <c r="D13" s="15" t="str">
        <f t="shared" si="0"/>
        <v>No</v>
      </c>
      <c r="E13" s="15"/>
      <c r="F13" s="15" t="str">
        <f>IF(Goals!O29="Y","Gold",IF(Goals!K29="Y","Silver",IF(Goals!G29="Y","Bronze","None")))</f>
        <v>None</v>
      </c>
      <c r="G13" s="14"/>
      <c r="H13" s="15">
        <f>IF(F13="Bronze",50,0)</f>
        <v>0</v>
      </c>
      <c r="I13" s="15">
        <f>IF(F13="Silver",100,0)</f>
        <v>0</v>
      </c>
      <c r="J13" s="15">
        <f>IF(F13="Gold",200,0)</f>
        <v>0</v>
      </c>
    </row>
    <row r="14" spans="1:20" x14ac:dyDescent="0.25">
      <c r="A14" s="4" t="s">
        <v>17</v>
      </c>
      <c r="B14" t="s">
        <v>18</v>
      </c>
      <c r="D14" s="1" t="str">
        <f t="shared" si="0"/>
        <v>No</v>
      </c>
      <c r="F14" s="15" t="str">
        <f>IF(Goals!O35="Y","Gold",IF(Goals!K35="Y","Silver",IF(Goals!G35="Y","Bronze","None")))</f>
        <v>None</v>
      </c>
      <c r="H14" s="1">
        <f>IF(F14="Bronze",50,0)</f>
        <v>0</v>
      </c>
      <c r="I14" s="1">
        <f>IF(F14="Silver",100,0)</f>
        <v>0</v>
      </c>
      <c r="J14" s="1">
        <f>IF(F14="Gold",200,0)</f>
        <v>0</v>
      </c>
    </row>
    <row r="15" spans="1:20" x14ac:dyDescent="0.25">
      <c r="A15" s="13" t="s">
        <v>19</v>
      </c>
      <c r="B15" s="14" t="s">
        <v>20</v>
      </c>
      <c r="C15" s="14"/>
      <c r="D15" s="15" t="str">
        <f t="shared" si="0"/>
        <v>No</v>
      </c>
      <c r="E15" s="15"/>
      <c r="F15" s="15" t="str">
        <f>IF(Goals!O41="Y","Gold",IF(Goals!K41="Y","Silver",IF(Goals!G41="Y","Bronze","None")))</f>
        <v>None</v>
      </c>
      <c r="G15" s="14"/>
      <c r="H15" s="15">
        <f>IF(F15="Bronze",50,0)</f>
        <v>0</v>
      </c>
      <c r="I15" s="15">
        <f>IF(F15="Silver",100,0)</f>
        <v>0</v>
      </c>
      <c r="J15" s="15">
        <f>IF(F15="Gold",200,0)</f>
        <v>0</v>
      </c>
    </row>
    <row r="16" spans="1:20" x14ac:dyDescent="0.25">
      <c r="A16" s="4" t="s">
        <v>21</v>
      </c>
      <c r="B16" t="s">
        <v>84</v>
      </c>
      <c r="D16" s="1" t="str">
        <f t="shared" si="0"/>
        <v>No</v>
      </c>
      <c r="F16" s="15" t="str">
        <f>IF(Goals!O46="Y","Gold",IF(Goals!K46="Y","Silver",IF(Goals!G46="Y","Bronze","None")))</f>
        <v>None</v>
      </c>
      <c r="H16" s="1">
        <f>IF(F16="Bronze",50,0)</f>
        <v>0</v>
      </c>
      <c r="I16" s="1">
        <f>IF(F16="Silver",100,0)</f>
        <v>0</v>
      </c>
      <c r="J16" s="1">
        <f>IF(F16="Gold",200,0)</f>
        <v>0</v>
      </c>
    </row>
    <row r="17" spans="1:12" x14ac:dyDescent="0.25">
      <c r="A17" s="13" t="s">
        <v>22</v>
      </c>
      <c r="B17" s="14" t="s">
        <v>23</v>
      </c>
      <c r="C17" s="14"/>
      <c r="D17" s="15" t="str">
        <f t="shared" si="0"/>
        <v>Yes</v>
      </c>
      <c r="E17" s="15"/>
      <c r="F17" s="15" t="str">
        <f>IF(Goals!O51="Y","Gold",IF(Goals!K51="Y","Silver",IF(Goals!G51="Y","Bronze","None")))</f>
        <v>Bronze</v>
      </c>
      <c r="G17" s="14"/>
      <c r="H17" s="15">
        <f>IF(F17="Bronze",50,0)</f>
        <v>50</v>
      </c>
      <c r="I17" s="15">
        <f>IF(F17="Silver",100,0)</f>
        <v>0</v>
      </c>
      <c r="J17" s="15">
        <f>IF(F17="Gold",200,0)</f>
        <v>0</v>
      </c>
    </row>
    <row r="18" spans="1:12" x14ac:dyDescent="0.25">
      <c r="A18" s="4" t="s">
        <v>24</v>
      </c>
      <c r="B18" t="s">
        <v>25</v>
      </c>
      <c r="D18" s="2" t="str">
        <f t="shared" si="0"/>
        <v>No</v>
      </c>
      <c r="F18" s="15" t="str">
        <f>IF(Goals!O57="Y","Gold",IF(Goals!K57="Y","Silver",IF(Goals!G57="Y","Bronze","None")))</f>
        <v>None</v>
      </c>
      <c r="H18" s="2">
        <f>IF(F18="Bronze",25,0)</f>
        <v>0</v>
      </c>
      <c r="I18" s="2">
        <f>IF(F18="Silver",50,0)</f>
        <v>0</v>
      </c>
      <c r="J18" s="2">
        <f>IF(F18="Gold",100,0)</f>
        <v>0</v>
      </c>
    </row>
    <row r="19" spans="1:12" x14ac:dyDescent="0.25">
      <c r="A19" s="13" t="s">
        <v>26</v>
      </c>
      <c r="B19" s="14" t="s">
        <v>27</v>
      </c>
      <c r="C19" s="14"/>
      <c r="D19" s="15" t="str">
        <f t="shared" si="0"/>
        <v>No</v>
      </c>
      <c r="E19" s="15"/>
      <c r="F19" s="15" t="str">
        <f>IF(Goals!O63="Y","Gold",IF(Goals!K63="Y","Silver",IF(Goals!G63="Y","Bronze","None")))</f>
        <v>None</v>
      </c>
      <c r="G19" s="14"/>
      <c r="H19" s="15">
        <f>IF(F19="Bronze",25,0)</f>
        <v>0</v>
      </c>
      <c r="I19" s="15">
        <f>IF(F19="Silver",50,0)</f>
        <v>0</v>
      </c>
      <c r="J19" s="15">
        <f>IF(F19="Gold",100,0)</f>
        <v>0</v>
      </c>
    </row>
    <row r="20" spans="1:12" x14ac:dyDescent="0.25">
      <c r="A20" s="4" t="s">
        <v>29</v>
      </c>
      <c r="B20" t="s">
        <v>109</v>
      </c>
      <c r="D20" s="2" t="str">
        <f t="shared" si="0"/>
        <v>No</v>
      </c>
      <c r="F20" s="15" t="str">
        <f>IF(Goals!O70="Y","Gold",IF(Goals!K70="Y","Silver",IF(Goals!G70="Y","Bronze","None")))</f>
        <v>None</v>
      </c>
      <c r="H20" s="2">
        <f>IF(F20="Bronze",25,0)</f>
        <v>0</v>
      </c>
      <c r="I20" s="63">
        <f>IF(F20="Silver",50,0)</f>
        <v>0</v>
      </c>
      <c r="J20" s="63">
        <f>IF(F20="Gold",100,0)</f>
        <v>0</v>
      </c>
    </row>
    <row r="21" spans="1:12" x14ac:dyDescent="0.25">
      <c r="A21" s="13" t="s">
        <v>31</v>
      </c>
      <c r="B21" t="s">
        <v>30</v>
      </c>
      <c r="C21" s="14"/>
      <c r="D21" s="15" t="str">
        <f t="shared" si="0"/>
        <v>No</v>
      </c>
      <c r="E21" s="15"/>
      <c r="F21" s="15" t="str">
        <f>IF(Goals!O75="Y","Gold",IF(Goals!K75="Y","Silver",IF(Goals!G75="Y","Bronze","None")))</f>
        <v>None</v>
      </c>
      <c r="G21" s="14"/>
      <c r="H21" s="15">
        <f>IF(F21="Bronze",25,0)</f>
        <v>0</v>
      </c>
      <c r="I21" s="15">
        <f>IF(F21="Silver",50,0)</f>
        <v>0</v>
      </c>
      <c r="J21" s="15">
        <f>IF(F21="Gold",100,0)</f>
        <v>0</v>
      </c>
    </row>
    <row r="22" spans="1:12" ht="15.75" thickBot="1" x14ac:dyDescent="0.3">
      <c r="D22" s="10"/>
      <c r="E22" s="10"/>
      <c r="F22" s="10"/>
      <c r="G22" s="11"/>
      <c r="H22" s="10"/>
      <c r="I22" s="10"/>
      <c r="J22" s="10"/>
    </row>
    <row r="23" spans="1:12" ht="15.75" thickBot="1" x14ac:dyDescent="0.3">
      <c r="B23" t="s">
        <v>32</v>
      </c>
      <c r="D23" s="1">
        <f>COUNTIF(D9:D21,"Yes")</f>
        <v>1</v>
      </c>
      <c r="H23" s="1">
        <f>SUM(H9:H22)</f>
        <v>50</v>
      </c>
      <c r="I23" s="1">
        <f>SUM(I9:I22)</f>
        <v>0</v>
      </c>
      <c r="J23" s="12">
        <f>SUM(J9:J22)</f>
        <v>0</v>
      </c>
    </row>
    <row r="24" spans="1:12" x14ac:dyDescent="0.25">
      <c r="F24" s="16" t="str">
        <f>IF(AND(D23&gt;=10,J24&gt;=1600),"Gold",IF(AND(D23&gt;=10,J24&gt;=1000),"Silver",IF(AND(D23&gt;=10,J24&gt;=700),"Bronze","None")))</f>
        <v>None</v>
      </c>
      <c r="J24" s="1">
        <f>SUM(J23,I23,H23)</f>
        <v>50</v>
      </c>
    </row>
    <row r="25" spans="1:12" x14ac:dyDescent="0.25">
      <c r="L25" s="20" t="s">
        <v>34</v>
      </c>
    </row>
    <row r="26" spans="1:12" x14ac:dyDescent="0.25">
      <c r="B26" s="4" t="s">
        <v>36</v>
      </c>
      <c r="D26" s="18"/>
      <c r="L26" s="20" t="s">
        <v>35</v>
      </c>
    </row>
    <row r="27" spans="1:12" x14ac:dyDescent="0.25">
      <c r="B27" s="4" t="s">
        <v>37</v>
      </c>
      <c r="D27" s="22"/>
      <c r="L27" s="17">
        <v>41283</v>
      </c>
    </row>
  </sheetData>
  <sheetProtection password="DD23" sheet="1" objects="1" scenarios="1" selectLockedCells="1"/>
  <mergeCells count="3">
    <mergeCell ref="A7:B7"/>
    <mergeCell ref="H6:J6"/>
    <mergeCell ref="A5:K5"/>
  </mergeCells>
  <pageMargins left="0.25" right="0.25"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L38"/>
  <sheetViews>
    <sheetView topLeftCell="A16" workbookViewId="0">
      <selection activeCell="G37" sqref="G37"/>
    </sheetView>
  </sheetViews>
  <sheetFormatPr defaultColWidth="12.42578125" defaultRowHeight="18.75" x14ac:dyDescent="0.25"/>
  <cols>
    <col min="1" max="1" width="3.28515625" style="52" bestFit="1" customWidth="1"/>
    <col min="2" max="2" width="19.140625" style="53" customWidth="1"/>
    <col min="3" max="3" width="23" style="49" customWidth="1"/>
    <col min="4" max="4" width="21.140625" style="49" customWidth="1"/>
    <col min="5" max="5" width="20.85546875" style="49" customWidth="1"/>
    <col min="6" max="6" width="4.85546875" style="49" customWidth="1"/>
    <col min="7" max="8" width="4.7109375" style="50" customWidth="1"/>
    <col min="9" max="256" width="12.42578125" style="50"/>
    <col min="257" max="257" width="5.7109375" style="50" customWidth="1"/>
    <col min="258" max="258" width="27" style="50" customWidth="1"/>
    <col min="259" max="259" width="41.85546875" style="50" customWidth="1"/>
    <col min="260" max="261" width="35.85546875" style="50" customWidth="1"/>
    <col min="262" max="262" width="12.42578125" style="50" customWidth="1"/>
    <col min="263" max="512" width="12.42578125" style="50"/>
    <col min="513" max="513" width="5.7109375" style="50" customWidth="1"/>
    <col min="514" max="514" width="27" style="50" customWidth="1"/>
    <col min="515" max="515" width="41.85546875" style="50" customWidth="1"/>
    <col min="516" max="517" width="35.85546875" style="50" customWidth="1"/>
    <col min="518" max="518" width="12.42578125" style="50" customWidth="1"/>
    <col min="519" max="768" width="12.42578125" style="50"/>
    <col min="769" max="769" width="5.7109375" style="50" customWidth="1"/>
    <col min="770" max="770" width="27" style="50" customWidth="1"/>
    <col min="771" max="771" width="41.85546875" style="50" customWidth="1"/>
    <col min="772" max="773" width="35.85546875" style="50" customWidth="1"/>
    <col min="774" max="774" width="12.42578125" style="50" customWidth="1"/>
    <col min="775" max="1024" width="12.42578125" style="50"/>
    <col min="1025" max="1025" width="5.7109375" style="50" customWidth="1"/>
    <col min="1026" max="1026" width="27" style="50" customWidth="1"/>
    <col min="1027" max="1027" width="41.85546875" style="50" customWidth="1"/>
    <col min="1028" max="1029" width="35.85546875" style="50" customWidth="1"/>
    <col min="1030" max="1030" width="12.42578125" style="50" customWidth="1"/>
    <col min="1031" max="1280" width="12.42578125" style="50"/>
    <col min="1281" max="1281" width="5.7109375" style="50" customWidth="1"/>
    <col min="1282" max="1282" width="27" style="50" customWidth="1"/>
    <col min="1283" max="1283" width="41.85546875" style="50" customWidth="1"/>
    <col min="1284" max="1285" width="35.85546875" style="50" customWidth="1"/>
    <col min="1286" max="1286" width="12.42578125" style="50" customWidth="1"/>
    <col min="1287" max="1536" width="12.42578125" style="50"/>
    <col min="1537" max="1537" width="5.7109375" style="50" customWidth="1"/>
    <col min="1538" max="1538" width="27" style="50" customWidth="1"/>
    <col min="1539" max="1539" width="41.85546875" style="50" customWidth="1"/>
    <col min="1540" max="1541" width="35.85546875" style="50" customWidth="1"/>
    <col min="1542" max="1542" width="12.42578125" style="50" customWidth="1"/>
    <col min="1543" max="1792" width="12.42578125" style="50"/>
    <col min="1793" max="1793" width="5.7109375" style="50" customWidth="1"/>
    <col min="1794" max="1794" width="27" style="50" customWidth="1"/>
    <col min="1795" max="1795" width="41.85546875" style="50" customWidth="1"/>
    <col min="1796" max="1797" width="35.85546875" style="50" customWidth="1"/>
    <col min="1798" max="1798" width="12.42578125" style="50" customWidth="1"/>
    <col min="1799" max="2048" width="12.42578125" style="50"/>
    <col min="2049" max="2049" width="5.7109375" style="50" customWidth="1"/>
    <col min="2050" max="2050" width="27" style="50" customWidth="1"/>
    <col min="2051" max="2051" width="41.85546875" style="50" customWidth="1"/>
    <col min="2052" max="2053" width="35.85546875" style="50" customWidth="1"/>
    <col min="2054" max="2054" width="12.42578125" style="50" customWidth="1"/>
    <col min="2055" max="2304" width="12.42578125" style="50"/>
    <col min="2305" max="2305" width="5.7109375" style="50" customWidth="1"/>
    <col min="2306" max="2306" width="27" style="50" customWidth="1"/>
    <col min="2307" max="2307" width="41.85546875" style="50" customWidth="1"/>
    <col min="2308" max="2309" width="35.85546875" style="50" customWidth="1"/>
    <col min="2310" max="2310" width="12.42578125" style="50" customWidth="1"/>
    <col min="2311" max="2560" width="12.42578125" style="50"/>
    <col min="2561" max="2561" width="5.7109375" style="50" customWidth="1"/>
    <col min="2562" max="2562" width="27" style="50" customWidth="1"/>
    <col min="2563" max="2563" width="41.85546875" style="50" customWidth="1"/>
    <col min="2564" max="2565" width="35.85546875" style="50" customWidth="1"/>
    <col min="2566" max="2566" width="12.42578125" style="50" customWidth="1"/>
    <col min="2567" max="2816" width="12.42578125" style="50"/>
    <col min="2817" max="2817" width="5.7109375" style="50" customWidth="1"/>
    <col min="2818" max="2818" width="27" style="50" customWidth="1"/>
    <col min="2819" max="2819" width="41.85546875" style="50" customWidth="1"/>
    <col min="2820" max="2821" width="35.85546875" style="50" customWidth="1"/>
    <col min="2822" max="2822" width="12.42578125" style="50" customWidth="1"/>
    <col min="2823" max="3072" width="12.42578125" style="50"/>
    <col min="3073" max="3073" width="5.7109375" style="50" customWidth="1"/>
    <col min="3074" max="3074" width="27" style="50" customWidth="1"/>
    <col min="3075" max="3075" width="41.85546875" style="50" customWidth="1"/>
    <col min="3076" max="3077" width="35.85546875" style="50" customWidth="1"/>
    <col min="3078" max="3078" width="12.42578125" style="50" customWidth="1"/>
    <col min="3079" max="3328" width="12.42578125" style="50"/>
    <col min="3329" max="3329" width="5.7109375" style="50" customWidth="1"/>
    <col min="3330" max="3330" width="27" style="50" customWidth="1"/>
    <col min="3331" max="3331" width="41.85546875" style="50" customWidth="1"/>
    <col min="3332" max="3333" width="35.85546875" style="50" customWidth="1"/>
    <col min="3334" max="3334" width="12.42578125" style="50" customWidth="1"/>
    <col min="3335" max="3584" width="12.42578125" style="50"/>
    <col min="3585" max="3585" width="5.7109375" style="50" customWidth="1"/>
    <col min="3586" max="3586" width="27" style="50" customWidth="1"/>
    <col min="3587" max="3587" width="41.85546875" style="50" customWidth="1"/>
    <col min="3588" max="3589" width="35.85546875" style="50" customWidth="1"/>
    <col min="3590" max="3590" width="12.42578125" style="50" customWidth="1"/>
    <col min="3591" max="3840" width="12.42578125" style="50"/>
    <col min="3841" max="3841" width="5.7109375" style="50" customWidth="1"/>
    <col min="3842" max="3842" width="27" style="50" customWidth="1"/>
    <col min="3843" max="3843" width="41.85546875" style="50" customWidth="1"/>
    <col min="3844" max="3845" width="35.85546875" style="50" customWidth="1"/>
    <col min="3846" max="3846" width="12.42578125" style="50" customWidth="1"/>
    <col min="3847" max="4096" width="12.42578125" style="50"/>
    <col min="4097" max="4097" width="5.7109375" style="50" customWidth="1"/>
    <col min="4098" max="4098" width="27" style="50" customWidth="1"/>
    <col min="4099" max="4099" width="41.85546875" style="50" customWidth="1"/>
    <col min="4100" max="4101" width="35.85546875" style="50" customWidth="1"/>
    <col min="4102" max="4102" width="12.42578125" style="50" customWidth="1"/>
    <col min="4103" max="4352" width="12.42578125" style="50"/>
    <col min="4353" max="4353" width="5.7109375" style="50" customWidth="1"/>
    <col min="4354" max="4354" width="27" style="50" customWidth="1"/>
    <col min="4355" max="4355" width="41.85546875" style="50" customWidth="1"/>
    <col min="4356" max="4357" width="35.85546875" style="50" customWidth="1"/>
    <col min="4358" max="4358" width="12.42578125" style="50" customWidth="1"/>
    <col min="4359" max="4608" width="12.42578125" style="50"/>
    <col min="4609" max="4609" width="5.7109375" style="50" customWidth="1"/>
    <col min="4610" max="4610" width="27" style="50" customWidth="1"/>
    <col min="4611" max="4611" width="41.85546875" style="50" customWidth="1"/>
    <col min="4612" max="4613" width="35.85546875" style="50" customWidth="1"/>
    <col min="4614" max="4614" width="12.42578125" style="50" customWidth="1"/>
    <col min="4615" max="4864" width="12.42578125" style="50"/>
    <col min="4865" max="4865" width="5.7109375" style="50" customWidth="1"/>
    <col min="4866" max="4866" width="27" style="50" customWidth="1"/>
    <col min="4867" max="4867" width="41.85546875" style="50" customWidth="1"/>
    <col min="4868" max="4869" width="35.85546875" style="50" customWidth="1"/>
    <col min="4870" max="4870" width="12.42578125" style="50" customWidth="1"/>
    <col min="4871" max="5120" width="12.42578125" style="50"/>
    <col min="5121" max="5121" width="5.7109375" style="50" customWidth="1"/>
    <col min="5122" max="5122" width="27" style="50" customWidth="1"/>
    <col min="5123" max="5123" width="41.85546875" style="50" customWidth="1"/>
    <col min="5124" max="5125" width="35.85546875" style="50" customWidth="1"/>
    <col min="5126" max="5126" width="12.42578125" style="50" customWidth="1"/>
    <col min="5127" max="5376" width="12.42578125" style="50"/>
    <col min="5377" max="5377" width="5.7109375" style="50" customWidth="1"/>
    <col min="5378" max="5378" width="27" style="50" customWidth="1"/>
    <col min="5379" max="5379" width="41.85546875" style="50" customWidth="1"/>
    <col min="5380" max="5381" width="35.85546875" style="50" customWidth="1"/>
    <col min="5382" max="5382" width="12.42578125" style="50" customWidth="1"/>
    <col min="5383" max="5632" width="12.42578125" style="50"/>
    <col min="5633" max="5633" width="5.7109375" style="50" customWidth="1"/>
    <col min="5634" max="5634" width="27" style="50" customWidth="1"/>
    <col min="5635" max="5635" width="41.85546875" style="50" customWidth="1"/>
    <col min="5636" max="5637" width="35.85546875" style="50" customWidth="1"/>
    <col min="5638" max="5638" width="12.42578125" style="50" customWidth="1"/>
    <col min="5639" max="5888" width="12.42578125" style="50"/>
    <col min="5889" max="5889" width="5.7109375" style="50" customWidth="1"/>
    <col min="5890" max="5890" width="27" style="50" customWidth="1"/>
    <col min="5891" max="5891" width="41.85546875" style="50" customWidth="1"/>
    <col min="5892" max="5893" width="35.85546875" style="50" customWidth="1"/>
    <col min="5894" max="5894" width="12.42578125" style="50" customWidth="1"/>
    <col min="5895" max="6144" width="12.42578125" style="50"/>
    <col min="6145" max="6145" width="5.7109375" style="50" customWidth="1"/>
    <col min="6146" max="6146" width="27" style="50" customWidth="1"/>
    <col min="6147" max="6147" width="41.85546875" style="50" customWidth="1"/>
    <col min="6148" max="6149" width="35.85546875" style="50" customWidth="1"/>
    <col min="6150" max="6150" width="12.42578125" style="50" customWidth="1"/>
    <col min="6151" max="6400" width="12.42578125" style="50"/>
    <col min="6401" max="6401" width="5.7109375" style="50" customWidth="1"/>
    <col min="6402" max="6402" width="27" style="50" customWidth="1"/>
    <col min="6403" max="6403" width="41.85546875" style="50" customWidth="1"/>
    <col min="6404" max="6405" width="35.85546875" style="50" customWidth="1"/>
    <col min="6406" max="6406" width="12.42578125" style="50" customWidth="1"/>
    <col min="6407" max="6656" width="12.42578125" style="50"/>
    <col min="6657" max="6657" width="5.7109375" style="50" customWidth="1"/>
    <col min="6658" max="6658" width="27" style="50" customWidth="1"/>
    <col min="6659" max="6659" width="41.85546875" style="50" customWidth="1"/>
    <col min="6660" max="6661" width="35.85546875" style="50" customWidth="1"/>
    <col min="6662" max="6662" width="12.42578125" style="50" customWidth="1"/>
    <col min="6663" max="6912" width="12.42578125" style="50"/>
    <col min="6913" max="6913" width="5.7109375" style="50" customWidth="1"/>
    <col min="6914" max="6914" width="27" style="50" customWidth="1"/>
    <col min="6915" max="6915" width="41.85546875" style="50" customWidth="1"/>
    <col min="6916" max="6917" width="35.85546875" style="50" customWidth="1"/>
    <col min="6918" max="6918" width="12.42578125" style="50" customWidth="1"/>
    <col min="6919" max="7168" width="12.42578125" style="50"/>
    <col min="7169" max="7169" width="5.7109375" style="50" customWidth="1"/>
    <col min="7170" max="7170" width="27" style="50" customWidth="1"/>
    <col min="7171" max="7171" width="41.85546875" style="50" customWidth="1"/>
    <col min="7172" max="7173" width="35.85546875" style="50" customWidth="1"/>
    <col min="7174" max="7174" width="12.42578125" style="50" customWidth="1"/>
    <col min="7175" max="7424" width="12.42578125" style="50"/>
    <col min="7425" max="7425" width="5.7109375" style="50" customWidth="1"/>
    <col min="7426" max="7426" width="27" style="50" customWidth="1"/>
    <col min="7427" max="7427" width="41.85546875" style="50" customWidth="1"/>
    <col min="7428" max="7429" width="35.85546875" style="50" customWidth="1"/>
    <col min="7430" max="7430" width="12.42578125" style="50" customWidth="1"/>
    <col min="7431" max="7680" width="12.42578125" style="50"/>
    <col min="7681" max="7681" width="5.7109375" style="50" customWidth="1"/>
    <col min="7682" max="7682" width="27" style="50" customWidth="1"/>
    <col min="7683" max="7683" width="41.85546875" style="50" customWidth="1"/>
    <col min="7684" max="7685" width="35.85546875" style="50" customWidth="1"/>
    <col min="7686" max="7686" width="12.42578125" style="50" customWidth="1"/>
    <col min="7687" max="7936" width="12.42578125" style="50"/>
    <col min="7937" max="7937" width="5.7109375" style="50" customWidth="1"/>
    <col min="7938" max="7938" width="27" style="50" customWidth="1"/>
    <col min="7939" max="7939" width="41.85546875" style="50" customWidth="1"/>
    <col min="7940" max="7941" width="35.85546875" style="50" customWidth="1"/>
    <col min="7942" max="7942" width="12.42578125" style="50" customWidth="1"/>
    <col min="7943" max="8192" width="12.42578125" style="50"/>
    <col min="8193" max="8193" width="5.7109375" style="50" customWidth="1"/>
    <col min="8194" max="8194" width="27" style="50" customWidth="1"/>
    <col min="8195" max="8195" width="41.85546875" style="50" customWidth="1"/>
    <col min="8196" max="8197" width="35.85546875" style="50" customWidth="1"/>
    <col min="8198" max="8198" width="12.42578125" style="50" customWidth="1"/>
    <col min="8199" max="8448" width="12.42578125" style="50"/>
    <col min="8449" max="8449" width="5.7109375" style="50" customWidth="1"/>
    <col min="8450" max="8450" width="27" style="50" customWidth="1"/>
    <col min="8451" max="8451" width="41.85546875" style="50" customWidth="1"/>
    <col min="8452" max="8453" width="35.85546875" style="50" customWidth="1"/>
    <col min="8454" max="8454" width="12.42578125" style="50" customWidth="1"/>
    <col min="8455" max="8704" width="12.42578125" style="50"/>
    <col min="8705" max="8705" width="5.7109375" style="50" customWidth="1"/>
    <col min="8706" max="8706" width="27" style="50" customWidth="1"/>
    <col min="8707" max="8707" width="41.85546875" style="50" customWidth="1"/>
    <col min="8708" max="8709" width="35.85546875" style="50" customWidth="1"/>
    <col min="8710" max="8710" width="12.42578125" style="50" customWidth="1"/>
    <col min="8711" max="8960" width="12.42578125" style="50"/>
    <col min="8961" max="8961" width="5.7109375" style="50" customWidth="1"/>
    <col min="8962" max="8962" width="27" style="50" customWidth="1"/>
    <col min="8963" max="8963" width="41.85546875" style="50" customWidth="1"/>
    <col min="8964" max="8965" width="35.85546875" style="50" customWidth="1"/>
    <col min="8966" max="8966" width="12.42578125" style="50" customWidth="1"/>
    <col min="8967" max="9216" width="12.42578125" style="50"/>
    <col min="9217" max="9217" width="5.7109375" style="50" customWidth="1"/>
    <col min="9218" max="9218" width="27" style="50" customWidth="1"/>
    <col min="9219" max="9219" width="41.85546875" style="50" customWidth="1"/>
    <col min="9220" max="9221" width="35.85546875" style="50" customWidth="1"/>
    <col min="9222" max="9222" width="12.42578125" style="50" customWidth="1"/>
    <col min="9223" max="9472" width="12.42578125" style="50"/>
    <col min="9473" max="9473" width="5.7109375" style="50" customWidth="1"/>
    <col min="9474" max="9474" width="27" style="50" customWidth="1"/>
    <col min="9475" max="9475" width="41.85546875" style="50" customWidth="1"/>
    <col min="9476" max="9477" width="35.85546875" style="50" customWidth="1"/>
    <col min="9478" max="9478" width="12.42578125" style="50" customWidth="1"/>
    <col min="9479" max="9728" width="12.42578125" style="50"/>
    <col min="9729" max="9729" width="5.7109375" style="50" customWidth="1"/>
    <col min="9730" max="9730" width="27" style="50" customWidth="1"/>
    <col min="9731" max="9731" width="41.85546875" style="50" customWidth="1"/>
    <col min="9732" max="9733" width="35.85546875" style="50" customWidth="1"/>
    <col min="9734" max="9734" width="12.42578125" style="50" customWidth="1"/>
    <col min="9735" max="9984" width="12.42578125" style="50"/>
    <col min="9985" max="9985" width="5.7109375" style="50" customWidth="1"/>
    <col min="9986" max="9986" width="27" style="50" customWidth="1"/>
    <col min="9987" max="9987" width="41.85546875" style="50" customWidth="1"/>
    <col min="9988" max="9989" width="35.85546875" style="50" customWidth="1"/>
    <col min="9990" max="9990" width="12.42578125" style="50" customWidth="1"/>
    <col min="9991" max="10240" width="12.42578125" style="50"/>
    <col min="10241" max="10241" width="5.7109375" style="50" customWidth="1"/>
    <col min="10242" max="10242" width="27" style="50" customWidth="1"/>
    <col min="10243" max="10243" width="41.85546875" style="50" customWidth="1"/>
    <col min="10244" max="10245" width="35.85546875" style="50" customWidth="1"/>
    <col min="10246" max="10246" width="12.42578125" style="50" customWidth="1"/>
    <col min="10247" max="10496" width="12.42578125" style="50"/>
    <col min="10497" max="10497" width="5.7109375" style="50" customWidth="1"/>
    <col min="10498" max="10498" width="27" style="50" customWidth="1"/>
    <col min="10499" max="10499" width="41.85546875" style="50" customWidth="1"/>
    <col min="10500" max="10501" width="35.85546875" style="50" customWidth="1"/>
    <col min="10502" max="10502" width="12.42578125" style="50" customWidth="1"/>
    <col min="10503" max="10752" width="12.42578125" style="50"/>
    <col min="10753" max="10753" width="5.7109375" style="50" customWidth="1"/>
    <col min="10754" max="10754" width="27" style="50" customWidth="1"/>
    <col min="10755" max="10755" width="41.85546875" style="50" customWidth="1"/>
    <col min="10756" max="10757" width="35.85546875" style="50" customWidth="1"/>
    <col min="10758" max="10758" width="12.42578125" style="50" customWidth="1"/>
    <col min="10759" max="11008" width="12.42578125" style="50"/>
    <col min="11009" max="11009" width="5.7109375" style="50" customWidth="1"/>
    <col min="11010" max="11010" width="27" style="50" customWidth="1"/>
    <col min="11011" max="11011" width="41.85546875" style="50" customWidth="1"/>
    <col min="11012" max="11013" width="35.85546875" style="50" customWidth="1"/>
    <col min="11014" max="11014" width="12.42578125" style="50" customWidth="1"/>
    <col min="11015" max="11264" width="12.42578125" style="50"/>
    <col min="11265" max="11265" width="5.7109375" style="50" customWidth="1"/>
    <col min="11266" max="11266" width="27" style="50" customWidth="1"/>
    <col min="11267" max="11267" width="41.85546875" style="50" customWidth="1"/>
    <col min="11268" max="11269" width="35.85546875" style="50" customWidth="1"/>
    <col min="11270" max="11270" width="12.42578125" style="50" customWidth="1"/>
    <col min="11271" max="11520" width="12.42578125" style="50"/>
    <col min="11521" max="11521" width="5.7109375" style="50" customWidth="1"/>
    <col min="11522" max="11522" width="27" style="50" customWidth="1"/>
    <col min="11523" max="11523" width="41.85546875" style="50" customWidth="1"/>
    <col min="11524" max="11525" width="35.85546875" style="50" customWidth="1"/>
    <col min="11526" max="11526" width="12.42578125" style="50" customWidth="1"/>
    <col min="11527" max="11776" width="12.42578125" style="50"/>
    <col min="11777" max="11777" width="5.7109375" style="50" customWidth="1"/>
    <col min="11778" max="11778" width="27" style="50" customWidth="1"/>
    <col min="11779" max="11779" width="41.85546875" style="50" customWidth="1"/>
    <col min="11780" max="11781" width="35.85546875" style="50" customWidth="1"/>
    <col min="11782" max="11782" width="12.42578125" style="50" customWidth="1"/>
    <col min="11783" max="12032" width="12.42578125" style="50"/>
    <col min="12033" max="12033" width="5.7109375" style="50" customWidth="1"/>
    <col min="12034" max="12034" width="27" style="50" customWidth="1"/>
    <col min="12035" max="12035" width="41.85546875" style="50" customWidth="1"/>
    <col min="12036" max="12037" width="35.85546875" style="50" customWidth="1"/>
    <col min="12038" max="12038" width="12.42578125" style="50" customWidth="1"/>
    <col min="12039" max="12288" width="12.42578125" style="50"/>
    <col min="12289" max="12289" width="5.7109375" style="50" customWidth="1"/>
    <col min="12290" max="12290" width="27" style="50" customWidth="1"/>
    <col min="12291" max="12291" width="41.85546875" style="50" customWidth="1"/>
    <col min="12292" max="12293" width="35.85546875" style="50" customWidth="1"/>
    <col min="12294" max="12294" width="12.42578125" style="50" customWidth="1"/>
    <col min="12295" max="12544" width="12.42578125" style="50"/>
    <col min="12545" max="12545" width="5.7109375" style="50" customWidth="1"/>
    <col min="12546" max="12546" width="27" style="50" customWidth="1"/>
    <col min="12547" max="12547" width="41.85546875" style="50" customWidth="1"/>
    <col min="12548" max="12549" width="35.85546875" style="50" customWidth="1"/>
    <col min="12550" max="12550" width="12.42578125" style="50" customWidth="1"/>
    <col min="12551" max="12800" width="12.42578125" style="50"/>
    <col min="12801" max="12801" width="5.7109375" style="50" customWidth="1"/>
    <col min="12802" max="12802" width="27" style="50" customWidth="1"/>
    <col min="12803" max="12803" width="41.85546875" style="50" customWidth="1"/>
    <col min="12804" max="12805" width="35.85546875" style="50" customWidth="1"/>
    <col min="12806" max="12806" width="12.42578125" style="50" customWidth="1"/>
    <col min="12807" max="13056" width="12.42578125" style="50"/>
    <col min="13057" max="13057" width="5.7109375" style="50" customWidth="1"/>
    <col min="13058" max="13058" width="27" style="50" customWidth="1"/>
    <col min="13059" max="13059" width="41.85546875" style="50" customWidth="1"/>
    <col min="13060" max="13061" width="35.85546875" style="50" customWidth="1"/>
    <col min="13062" max="13062" width="12.42578125" style="50" customWidth="1"/>
    <col min="13063" max="13312" width="12.42578125" style="50"/>
    <col min="13313" max="13313" width="5.7109375" style="50" customWidth="1"/>
    <col min="13314" max="13314" width="27" style="50" customWidth="1"/>
    <col min="13315" max="13315" width="41.85546875" style="50" customWidth="1"/>
    <col min="13316" max="13317" width="35.85546875" style="50" customWidth="1"/>
    <col min="13318" max="13318" width="12.42578125" style="50" customWidth="1"/>
    <col min="13319" max="13568" width="12.42578125" style="50"/>
    <col min="13569" max="13569" width="5.7109375" style="50" customWidth="1"/>
    <col min="13570" max="13570" width="27" style="50" customWidth="1"/>
    <col min="13571" max="13571" width="41.85546875" style="50" customWidth="1"/>
    <col min="13572" max="13573" width="35.85546875" style="50" customWidth="1"/>
    <col min="13574" max="13574" width="12.42578125" style="50" customWidth="1"/>
    <col min="13575" max="13824" width="12.42578125" style="50"/>
    <col min="13825" max="13825" width="5.7109375" style="50" customWidth="1"/>
    <col min="13826" max="13826" width="27" style="50" customWidth="1"/>
    <col min="13827" max="13827" width="41.85546875" style="50" customWidth="1"/>
    <col min="13828" max="13829" width="35.85546875" style="50" customWidth="1"/>
    <col min="13830" max="13830" width="12.42578125" style="50" customWidth="1"/>
    <col min="13831" max="14080" width="12.42578125" style="50"/>
    <col min="14081" max="14081" width="5.7109375" style="50" customWidth="1"/>
    <col min="14082" max="14082" width="27" style="50" customWidth="1"/>
    <col min="14083" max="14083" width="41.85546875" style="50" customWidth="1"/>
    <col min="14084" max="14085" width="35.85546875" style="50" customWidth="1"/>
    <col min="14086" max="14086" width="12.42578125" style="50" customWidth="1"/>
    <col min="14087" max="14336" width="12.42578125" style="50"/>
    <col min="14337" max="14337" width="5.7109375" style="50" customWidth="1"/>
    <col min="14338" max="14338" width="27" style="50" customWidth="1"/>
    <col min="14339" max="14339" width="41.85546875" style="50" customWidth="1"/>
    <col min="14340" max="14341" width="35.85546875" style="50" customWidth="1"/>
    <col min="14342" max="14342" width="12.42578125" style="50" customWidth="1"/>
    <col min="14343" max="14592" width="12.42578125" style="50"/>
    <col min="14593" max="14593" width="5.7109375" style="50" customWidth="1"/>
    <col min="14594" max="14594" width="27" style="50" customWidth="1"/>
    <col min="14595" max="14595" width="41.85546875" style="50" customWidth="1"/>
    <col min="14596" max="14597" width="35.85546875" style="50" customWidth="1"/>
    <col min="14598" max="14598" width="12.42578125" style="50" customWidth="1"/>
    <col min="14599" max="14848" width="12.42578125" style="50"/>
    <col min="14849" max="14849" width="5.7109375" style="50" customWidth="1"/>
    <col min="14850" max="14850" width="27" style="50" customWidth="1"/>
    <col min="14851" max="14851" width="41.85546875" style="50" customWidth="1"/>
    <col min="14852" max="14853" width="35.85546875" style="50" customWidth="1"/>
    <col min="14854" max="14854" width="12.42578125" style="50" customWidth="1"/>
    <col min="14855" max="15104" width="12.42578125" style="50"/>
    <col min="15105" max="15105" width="5.7109375" style="50" customWidth="1"/>
    <col min="15106" max="15106" width="27" style="50" customWidth="1"/>
    <col min="15107" max="15107" width="41.85546875" style="50" customWidth="1"/>
    <col min="15108" max="15109" width="35.85546875" style="50" customWidth="1"/>
    <col min="15110" max="15110" width="12.42578125" style="50" customWidth="1"/>
    <col min="15111" max="15360" width="12.42578125" style="50"/>
    <col min="15361" max="15361" width="5.7109375" style="50" customWidth="1"/>
    <col min="15362" max="15362" width="27" style="50" customWidth="1"/>
    <col min="15363" max="15363" width="41.85546875" style="50" customWidth="1"/>
    <col min="15364" max="15365" width="35.85546875" style="50" customWidth="1"/>
    <col min="15366" max="15366" width="12.42578125" style="50" customWidth="1"/>
    <col min="15367" max="15616" width="12.42578125" style="50"/>
    <col min="15617" max="15617" width="5.7109375" style="50" customWidth="1"/>
    <col min="15618" max="15618" width="27" style="50" customWidth="1"/>
    <col min="15619" max="15619" width="41.85546875" style="50" customWidth="1"/>
    <col min="15620" max="15621" width="35.85546875" style="50" customWidth="1"/>
    <col min="15622" max="15622" width="12.42578125" style="50" customWidth="1"/>
    <col min="15623" max="15872" width="12.42578125" style="50"/>
    <col min="15873" max="15873" width="5.7109375" style="50" customWidth="1"/>
    <col min="15874" max="15874" width="27" style="50" customWidth="1"/>
    <col min="15875" max="15875" width="41.85546875" style="50" customWidth="1"/>
    <col min="15876" max="15877" width="35.85546875" style="50" customWidth="1"/>
    <col min="15878" max="15878" width="12.42578125" style="50" customWidth="1"/>
    <col min="15879" max="16128" width="12.42578125" style="50"/>
    <col min="16129" max="16129" width="5.7109375" style="50" customWidth="1"/>
    <col min="16130" max="16130" width="27" style="50" customWidth="1"/>
    <col min="16131" max="16131" width="41.85546875" style="50" customWidth="1"/>
    <col min="16132" max="16133" width="35.85546875" style="50" customWidth="1"/>
    <col min="16134" max="16134" width="12.42578125" style="50" customWidth="1"/>
    <col min="16135" max="16384" width="12.42578125" style="50"/>
  </cols>
  <sheetData>
    <row r="2" spans="1:12" ht="12.75" customHeight="1" thickBot="1" x14ac:dyDescent="0.3"/>
    <row r="3" spans="1:12" ht="12" customHeight="1" thickBot="1" x14ac:dyDescent="0.3">
      <c r="F3" s="94" t="s">
        <v>151</v>
      </c>
      <c r="G3" s="95"/>
      <c r="H3" s="96"/>
    </row>
    <row r="4" spans="1:12" s="48" customFormat="1" ht="15" customHeight="1" thickBot="1" x14ac:dyDescent="0.3">
      <c r="A4" s="47"/>
      <c r="B4" s="64" t="s">
        <v>1</v>
      </c>
      <c r="C4" s="64" t="s">
        <v>118</v>
      </c>
      <c r="D4" s="64" t="s">
        <v>119</v>
      </c>
      <c r="E4" s="64" t="s">
        <v>120</v>
      </c>
      <c r="F4" s="55" t="s">
        <v>152</v>
      </c>
      <c r="G4" s="55" t="s">
        <v>153</v>
      </c>
      <c r="H4" s="55" t="s">
        <v>4</v>
      </c>
    </row>
    <row r="5" spans="1:12" ht="15" customHeight="1" x14ac:dyDescent="0.25">
      <c r="A5" s="99">
        <v>1</v>
      </c>
      <c r="B5" s="109" t="s">
        <v>180</v>
      </c>
      <c r="C5" s="105" t="s">
        <v>130</v>
      </c>
      <c r="D5" s="105" t="s">
        <v>131</v>
      </c>
      <c r="E5" s="105" t="s">
        <v>132</v>
      </c>
      <c r="F5" s="110">
        <f>Scorecard!H9</f>
        <v>0</v>
      </c>
      <c r="G5" s="111">
        <f>Scorecard!I9</f>
        <v>0</v>
      </c>
      <c r="H5" s="111">
        <f>Scorecard!J9</f>
        <v>0</v>
      </c>
      <c r="I5" s="97"/>
      <c r="J5" s="97"/>
      <c r="K5" s="98"/>
      <c r="L5" s="98"/>
    </row>
    <row r="6" spans="1:12" ht="13.5" customHeight="1" thickBot="1" x14ac:dyDescent="0.3">
      <c r="A6" s="100"/>
      <c r="B6" s="102"/>
      <c r="C6" s="106"/>
      <c r="D6" s="106"/>
      <c r="E6" s="106"/>
      <c r="F6" s="104"/>
      <c r="G6" s="108"/>
      <c r="H6" s="108"/>
      <c r="I6" s="97"/>
      <c r="J6" s="97"/>
      <c r="K6" s="98"/>
      <c r="L6" s="98"/>
    </row>
    <row r="7" spans="1:12" ht="14.25" customHeight="1" x14ac:dyDescent="0.25">
      <c r="A7" s="99">
        <v>2</v>
      </c>
      <c r="B7" s="101" t="s">
        <v>181</v>
      </c>
      <c r="C7" s="105" t="s">
        <v>133</v>
      </c>
      <c r="D7" s="105" t="s">
        <v>134</v>
      </c>
      <c r="E7" s="105" t="s">
        <v>135</v>
      </c>
      <c r="F7" s="103">
        <f>Scorecard!H10</f>
        <v>0</v>
      </c>
      <c r="G7" s="107">
        <f>Scorecard!I10</f>
        <v>0</v>
      </c>
      <c r="H7" s="107">
        <f>Scorecard!J10</f>
        <v>0</v>
      </c>
      <c r="I7" s="51"/>
      <c r="J7" s="51"/>
    </row>
    <row r="8" spans="1:12" ht="16.5" customHeight="1" thickBot="1" x14ac:dyDescent="0.3">
      <c r="A8" s="100"/>
      <c r="B8" s="102"/>
      <c r="C8" s="106"/>
      <c r="D8" s="106"/>
      <c r="E8" s="106"/>
      <c r="F8" s="104"/>
      <c r="G8" s="108"/>
      <c r="H8" s="108"/>
      <c r="I8" s="51"/>
      <c r="J8" s="51"/>
    </row>
    <row r="9" spans="1:12" ht="14.25" customHeight="1" x14ac:dyDescent="0.25">
      <c r="A9" s="99">
        <v>3</v>
      </c>
      <c r="B9" s="101" t="s">
        <v>148</v>
      </c>
      <c r="C9" s="105" t="s">
        <v>182</v>
      </c>
      <c r="D9" s="105" t="s">
        <v>183</v>
      </c>
      <c r="E9" s="105" t="s">
        <v>184</v>
      </c>
      <c r="F9" s="103">
        <f>Scorecard!H11</f>
        <v>0</v>
      </c>
      <c r="G9" s="107">
        <f>Scorecard!I11</f>
        <v>0</v>
      </c>
      <c r="H9" s="107">
        <f>Scorecard!J11</f>
        <v>0</v>
      </c>
      <c r="I9" s="51"/>
      <c r="J9" s="51"/>
    </row>
    <row r="10" spans="1:12" ht="15" customHeight="1" thickBot="1" x14ac:dyDescent="0.3">
      <c r="A10" s="100"/>
      <c r="B10" s="102"/>
      <c r="C10" s="106"/>
      <c r="D10" s="106"/>
      <c r="E10" s="106"/>
      <c r="F10" s="104"/>
      <c r="G10" s="108"/>
      <c r="H10" s="108"/>
      <c r="I10" s="51"/>
      <c r="J10" s="51"/>
    </row>
    <row r="11" spans="1:12" ht="15.75" customHeight="1" x14ac:dyDescent="0.25">
      <c r="A11" s="114">
        <v>4</v>
      </c>
      <c r="B11" s="101" t="s">
        <v>185</v>
      </c>
      <c r="C11" s="105" t="s">
        <v>121</v>
      </c>
      <c r="D11" s="105" t="s">
        <v>122</v>
      </c>
      <c r="E11" s="105" t="s">
        <v>123</v>
      </c>
      <c r="F11" s="103">
        <f>Scorecard!H12</f>
        <v>0</v>
      </c>
      <c r="G11" s="107">
        <f>Scorecard!I12</f>
        <v>0</v>
      </c>
      <c r="H11" s="107">
        <f>Scorecard!J12</f>
        <v>0</v>
      </c>
      <c r="I11" s="51"/>
    </row>
    <row r="12" spans="1:12" ht="5.25" customHeight="1" thickBot="1" x14ac:dyDescent="0.3">
      <c r="A12" s="115"/>
      <c r="B12" s="102"/>
      <c r="C12" s="106"/>
      <c r="D12" s="106"/>
      <c r="E12" s="106"/>
      <c r="F12" s="104"/>
      <c r="G12" s="108"/>
      <c r="H12" s="108"/>
    </row>
    <row r="13" spans="1:12" ht="16.5" customHeight="1" x14ac:dyDescent="0.25">
      <c r="A13" s="99">
        <v>5</v>
      </c>
      <c r="B13" s="101" t="s">
        <v>136</v>
      </c>
      <c r="C13" s="112" t="s">
        <v>186</v>
      </c>
      <c r="D13" s="105" t="s">
        <v>212</v>
      </c>
      <c r="E13" s="105" t="s">
        <v>213</v>
      </c>
      <c r="F13" s="103">
        <f>Scorecard!H13</f>
        <v>0</v>
      </c>
      <c r="G13" s="107">
        <f>Scorecard!I13</f>
        <v>0</v>
      </c>
      <c r="H13" s="107">
        <f>Scorecard!J13</f>
        <v>0</v>
      </c>
    </row>
    <row r="14" spans="1:12" ht="35.25" customHeight="1" thickBot="1" x14ac:dyDescent="0.3">
      <c r="A14" s="100"/>
      <c r="B14" s="102"/>
      <c r="C14" s="113"/>
      <c r="D14" s="106"/>
      <c r="E14" s="106"/>
      <c r="F14" s="104"/>
      <c r="G14" s="108"/>
      <c r="H14" s="108"/>
    </row>
    <row r="15" spans="1:12" ht="18.95" customHeight="1" x14ac:dyDescent="0.25">
      <c r="A15" s="99">
        <v>6</v>
      </c>
      <c r="B15" s="101" t="s">
        <v>149</v>
      </c>
      <c r="C15" s="105" t="s">
        <v>187</v>
      </c>
      <c r="D15" s="105" t="s">
        <v>188</v>
      </c>
      <c r="E15" s="105" t="s">
        <v>189</v>
      </c>
      <c r="F15" s="103">
        <f>Scorecard!H14</f>
        <v>0</v>
      </c>
      <c r="G15" s="107">
        <f>Scorecard!I14</f>
        <v>0</v>
      </c>
      <c r="H15" s="107">
        <f>Scorecard!J14</f>
        <v>0</v>
      </c>
    </row>
    <row r="16" spans="1:12" ht="29.25" customHeight="1" thickBot="1" x14ac:dyDescent="0.3">
      <c r="A16" s="100"/>
      <c r="B16" s="102"/>
      <c r="C16" s="106"/>
      <c r="D16" s="106"/>
      <c r="E16" s="106"/>
      <c r="F16" s="104"/>
      <c r="G16" s="108"/>
      <c r="H16" s="108"/>
    </row>
    <row r="17" spans="1:8" ht="18.95" customHeight="1" x14ac:dyDescent="0.25">
      <c r="A17" s="99">
        <v>7</v>
      </c>
      <c r="B17" s="101" t="s">
        <v>150</v>
      </c>
      <c r="C17" s="105" t="s">
        <v>124</v>
      </c>
      <c r="D17" s="105" t="s">
        <v>125</v>
      </c>
      <c r="E17" s="105" t="s">
        <v>126</v>
      </c>
      <c r="F17" s="103">
        <f>Scorecard!H15</f>
        <v>0</v>
      </c>
      <c r="G17" s="107">
        <f>Scorecard!I15</f>
        <v>0</v>
      </c>
      <c r="H17" s="107">
        <f>Scorecard!J15</f>
        <v>0</v>
      </c>
    </row>
    <row r="18" spans="1:8" ht="36.75" customHeight="1" thickBot="1" x14ac:dyDescent="0.3">
      <c r="A18" s="100"/>
      <c r="B18" s="102"/>
      <c r="C18" s="106"/>
      <c r="D18" s="106"/>
      <c r="E18" s="106"/>
      <c r="F18" s="104"/>
      <c r="G18" s="108"/>
      <c r="H18" s="108"/>
    </row>
    <row r="19" spans="1:8" ht="18.95" customHeight="1" x14ac:dyDescent="0.25">
      <c r="A19" s="114">
        <v>8</v>
      </c>
      <c r="B19" s="101" t="s">
        <v>137</v>
      </c>
      <c r="C19" s="105" t="s">
        <v>146</v>
      </c>
      <c r="D19" s="105" t="s">
        <v>147</v>
      </c>
      <c r="E19" s="105" t="s">
        <v>154</v>
      </c>
      <c r="F19" s="103">
        <f>Scorecard!H16</f>
        <v>0</v>
      </c>
      <c r="G19" s="107">
        <f>Scorecard!I16</f>
        <v>0</v>
      </c>
      <c r="H19" s="107">
        <f>Scorecard!J16</f>
        <v>0</v>
      </c>
    </row>
    <row r="20" spans="1:8" ht="12" customHeight="1" thickBot="1" x14ac:dyDescent="0.3">
      <c r="A20" s="115"/>
      <c r="B20" s="102"/>
      <c r="C20" s="106"/>
      <c r="D20" s="106"/>
      <c r="E20" s="106"/>
      <c r="F20" s="104"/>
      <c r="G20" s="108"/>
      <c r="H20" s="108"/>
    </row>
    <row r="21" spans="1:8" ht="18.95" customHeight="1" x14ac:dyDescent="0.25">
      <c r="A21" s="114">
        <v>9</v>
      </c>
      <c r="B21" s="101" t="s">
        <v>138</v>
      </c>
      <c r="C21" s="105" t="s">
        <v>127</v>
      </c>
      <c r="D21" s="105" t="s">
        <v>139</v>
      </c>
      <c r="E21" s="105" t="s">
        <v>140</v>
      </c>
      <c r="F21" s="103">
        <f>Scorecard!H17</f>
        <v>50</v>
      </c>
      <c r="G21" s="107">
        <f>Scorecard!I17</f>
        <v>0</v>
      </c>
      <c r="H21" s="107">
        <f>Scorecard!J17</f>
        <v>0</v>
      </c>
    </row>
    <row r="22" spans="1:8" ht="27" customHeight="1" thickBot="1" x14ac:dyDescent="0.3">
      <c r="A22" s="115"/>
      <c r="B22" s="102"/>
      <c r="C22" s="106"/>
      <c r="D22" s="106"/>
      <c r="E22" s="106"/>
      <c r="F22" s="104"/>
      <c r="G22" s="108"/>
      <c r="H22" s="108"/>
    </row>
    <row r="23" spans="1:8" ht="18.95" customHeight="1" x14ac:dyDescent="0.25">
      <c r="A23" s="114">
        <v>10</v>
      </c>
      <c r="B23" s="101" t="s">
        <v>190</v>
      </c>
      <c r="C23" s="105" t="s">
        <v>128</v>
      </c>
      <c r="D23" s="105" t="s">
        <v>129</v>
      </c>
      <c r="E23" s="105" t="s">
        <v>191</v>
      </c>
      <c r="F23" s="103">
        <f>Scorecard!H18</f>
        <v>0</v>
      </c>
      <c r="G23" s="107">
        <f>Scorecard!I18</f>
        <v>0</v>
      </c>
      <c r="H23" s="107">
        <f>Scorecard!J18</f>
        <v>0</v>
      </c>
    </row>
    <row r="24" spans="1:8" ht="30" customHeight="1" thickBot="1" x14ac:dyDescent="0.3">
      <c r="A24" s="115"/>
      <c r="B24" s="102"/>
      <c r="C24" s="106"/>
      <c r="D24" s="106"/>
      <c r="E24" s="106"/>
      <c r="F24" s="104"/>
      <c r="G24" s="108"/>
      <c r="H24" s="108"/>
    </row>
    <row r="25" spans="1:8" ht="18.95" customHeight="1" x14ac:dyDescent="0.25">
      <c r="A25" s="114">
        <v>11</v>
      </c>
      <c r="B25" s="101" t="s">
        <v>141</v>
      </c>
      <c r="C25" s="105" t="s">
        <v>192</v>
      </c>
      <c r="D25" s="105" t="s">
        <v>193</v>
      </c>
      <c r="E25" s="105" t="s">
        <v>194</v>
      </c>
      <c r="F25" s="103">
        <f>Scorecard!H19</f>
        <v>0</v>
      </c>
      <c r="G25" s="107">
        <f>Scorecard!I19</f>
        <v>0</v>
      </c>
      <c r="H25" s="107">
        <f>Scorecard!J19</f>
        <v>0</v>
      </c>
    </row>
    <row r="26" spans="1:8" ht="24" customHeight="1" thickBot="1" x14ac:dyDescent="0.3">
      <c r="A26" s="115"/>
      <c r="B26" s="102"/>
      <c r="C26" s="106"/>
      <c r="D26" s="106"/>
      <c r="E26" s="106"/>
      <c r="F26" s="104"/>
      <c r="G26" s="108"/>
      <c r="H26" s="108"/>
    </row>
    <row r="27" spans="1:8" ht="18.95" customHeight="1" x14ac:dyDescent="0.25">
      <c r="A27" s="114">
        <v>12</v>
      </c>
      <c r="B27" s="101" t="s">
        <v>142</v>
      </c>
      <c r="C27" s="105" t="s">
        <v>195</v>
      </c>
      <c r="D27" s="120" t="s">
        <v>143</v>
      </c>
      <c r="E27" s="120" t="s">
        <v>144</v>
      </c>
      <c r="F27" s="103">
        <f>Scorecard!H20</f>
        <v>0</v>
      </c>
      <c r="G27" s="107">
        <f>Scorecard!I20</f>
        <v>0</v>
      </c>
      <c r="H27" s="107">
        <f>Scorecard!J20</f>
        <v>0</v>
      </c>
    </row>
    <row r="28" spans="1:8" ht="21" customHeight="1" thickBot="1" x14ac:dyDescent="0.3">
      <c r="A28" s="115"/>
      <c r="B28" s="102"/>
      <c r="C28" s="106"/>
      <c r="D28" s="121"/>
      <c r="E28" s="121"/>
      <c r="F28" s="104"/>
      <c r="G28" s="108"/>
      <c r="H28" s="108"/>
    </row>
    <row r="29" spans="1:8" ht="18.95" customHeight="1" x14ac:dyDescent="0.25">
      <c r="A29" s="114">
        <v>13</v>
      </c>
      <c r="B29" s="101" t="s">
        <v>145</v>
      </c>
      <c r="C29" s="105" t="s">
        <v>196</v>
      </c>
      <c r="D29" s="120" t="s">
        <v>197</v>
      </c>
      <c r="E29" s="120" t="s">
        <v>216</v>
      </c>
      <c r="F29" s="103">
        <f>Scorecard!H21</f>
        <v>0</v>
      </c>
      <c r="G29" s="122">
        <f>Scorecard!I21</f>
        <v>0</v>
      </c>
      <c r="H29" s="122">
        <f>Scorecard!J21</f>
        <v>0</v>
      </c>
    </row>
    <row r="30" spans="1:8" ht="27" customHeight="1" thickBot="1" x14ac:dyDescent="0.3">
      <c r="A30" s="115"/>
      <c r="B30" s="102"/>
      <c r="C30" s="106"/>
      <c r="D30" s="121"/>
      <c r="E30" s="121"/>
      <c r="F30" s="104"/>
      <c r="G30" s="123"/>
      <c r="H30" s="123"/>
    </row>
    <row r="31" spans="1:8" ht="21" customHeight="1" thickBot="1" x14ac:dyDescent="0.3">
      <c r="E31" s="57" t="s">
        <v>9</v>
      </c>
      <c r="F31" s="61">
        <f>SUM(F5:F30)</f>
        <v>50</v>
      </c>
      <c r="G31" s="61">
        <f>SUM(G5:G30)</f>
        <v>0</v>
      </c>
      <c r="H31" s="61">
        <f>SUM(H5:H30)</f>
        <v>0</v>
      </c>
    </row>
    <row r="32" spans="1:8" ht="19.5" customHeight="1" thickBot="1" x14ac:dyDescent="0.3">
      <c r="A32" s="124" t="str">
        <f>"Pack "&amp;'Start Up Questions'!C9&amp; " "&amp;'Start Up Questions'!C8&amp;" District, "&amp;'Start Up Questions'!C7&amp;" Council"</f>
        <v>Pack   District,  Council</v>
      </c>
      <c r="B32" s="124"/>
      <c r="C32" s="124"/>
      <c r="D32" s="125"/>
      <c r="E32" s="56" t="s">
        <v>155</v>
      </c>
      <c r="F32" s="116">
        <f>SUM(F31,G31,H31)</f>
        <v>50</v>
      </c>
      <c r="G32" s="116"/>
      <c r="H32" s="117"/>
    </row>
    <row r="33" spans="1:8" ht="27.75" customHeight="1" x14ac:dyDescent="0.25">
      <c r="A33" s="50"/>
      <c r="B33" s="118" t="s">
        <v>156</v>
      </c>
      <c r="C33" s="118"/>
      <c r="D33" s="118"/>
      <c r="E33" s="118"/>
    </row>
    <row r="35" spans="1:8" ht="21.75" thickBot="1" x14ac:dyDescent="0.3">
      <c r="E35" s="58" t="s">
        <v>157</v>
      </c>
      <c r="F35" s="119" t="str">
        <f>IF(Scorecard!F24&lt;&gt;"None",Scorecard!F24," ")</f>
        <v xml:space="preserve"> </v>
      </c>
      <c r="G35" s="119"/>
      <c r="H35" s="119"/>
    </row>
    <row r="37" spans="1:8" ht="19.5" thickBot="1" x14ac:dyDescent="0.3">
      <c r="E37" s="58" t="s">
        <v>158</v>
      </c>
      <c r="F37" s="59"/>
      <c r="G37" s="65" t="str">
        <f>IF(Scorecard!F24="None","X"," ")</f>
        <v>X</v>
      </c>
      <c r="H37" s="59"/>
    </row>
    <row r="38" spans="1:8" x14ac:dyDescent="0.25">
      <c r="F38" s="60"/>
      <c r="G38" s="51"/>
      <c r="H38" s="51"/>
    </row>
  </sheetData>
  <sheetProtection password="DD23" sheet="1" objects="1" scenarios="1" selectLockedCells="1"/>
  <mergeCells count="113">
    <mergeCell ref="F32:H32"/>
    <mergeCell ref="B33:E33"/>
    <mergeCell ref="F35:H35"/>
    <mergeCell ref="G25:G26"/>
    <mergeCell ref="H25:H26"/>
    <mergeCell ref="G27:G28"/>
    <mergeCell ref="H27:H28"/>
    <mergeCell ref="C29:C30"/>
    <mergeCell ref="D29:D30"/>
    <mergeCell ref="E29:E30"/>
    <mergeCell ref="G29:G30"/>
    <mergeCell ref="H29:H30"/>
    <mergeCell ref="A32:D32"/>
    <mergeCell ref="A29:A30"/>
    <mergeCell ref="B29:B30"/>
    <mergeCell ref="F29:F30"/>
    <mergeCell ref="A27:A28"/>
    <mergeCell ref="B27:B28"/>
    <mergeCell ref="F27:F28"/>
    <mergeCell ref="C27:C28"/>
    <mergeCell ref="D27:D28"/>
    <mergeCell ref="E27:E28"/>
    <mergeCell ref="A25:A26"/>
    <mergeCell ref="B25:B26"/>
    <mergeCell ref="G21:G22"/>
    <mergeCell ref="H21:H22"/>
    <mergeCell ref="C23:C24"/>
    <mergeCell ref="D23:D24"/>
    <mergeCell ref="E23:E24"/>
    <mergeCell ref="C25:C26"/>
    <mergeCell ref="D25:D26"/>
    <mergeCell ref="E25:E26"/>
    <mergeCell ref="G23:G24"/>
    <mergeCell ref="H23:H24"/>
    <mergeCell ref="F25:F26"/>
    <mergeCell ref="E19:E20"/>
    <mergeCell ref="G19:G20"/>
    <mergeCell ref="H19:H20"/>
    <mergeCell ref="G13:G14"/>
    <mergeCell ref="H13:H14"/>
    <mergeCell ref="C15:C16"/>
    <mergeCell ref="D15:D16"/>
    <mergeCell ref="E15:E16"/>
    <mergeCell ref="G15:G16"/>
    <mergeCell ref="H15:H16"/>
    <mergeCell ref="A17:A18"/>
    <mergeCell ref="B17:B18"/>
    <mergeCell ref="F17:F18"/>
    <mergeCell ref="A19:A20"/>
    <mergeCell ref="B19:B20"/>
    <mergeCell ref="G9:G10"/>
    <mergeCell ref="H9:H10"/>
    <mergeCell ref="C11:C12"/>
    <mergeCell ref="D11:D12"/>
    <mergeCell ref="E11:E12"/>
    <mergeCell ref="G11:G12"/>
    <mergeCell ref="H11:H12"/>
    <mergeCell ref="F19:F20"/>
    <mergeCell ref="C17:C18"/>
    <mergeCell ref="D17:D18"/>
    <mergeCell ref="E17:E18"/>
    <mergeCell ref="A13:A14"/>
    <mergeCell ref="B13:B14"/>
    <mergeCell ref="F13:F14"/>
    <mergeCell ref="A15:A16"/>
    <mergeCell ref="G17:G18"/>
    <mergeCell ref="H17:H18"/>
    <mergeCell ref="C19:C20"/>
    <mergeCell ref="D19:D20"/>
    <mergeCell ref="A21:A22"/>
    <mergeCell ref="B21:B22"/>
    <mergeCell ref="F21:F22"/>
    <mergeCell ref="A23:A24"/>
    <mergeCell ref="B23:B24"/>
    <mergeCell ref="F23:F24"/>
    <mergeCell ref="C21:C22"/>
    <mergeCell ref="D21:D22"/>
    <mergeCell ref="E21:E22"/>
    <mergeCell ref="B15:B16"/>
    <mergeCell ref="F15:F16"/>
    <mergeCell ref="C13:C14"/>
    <mergeCell ref="D13:D14"/>
    <mergeCell ref="E13:E14"/>
    <mergeCell ref="A9:A10"/>
    <mergeCell ref="B9:B10"/>
    <mergeCell ref="F9:F10"/>
    <mergeCell ref="A11:A12"/>
    <mergeCell ref="B11:B12"/>
    <mergeCell ref="F11:F12"/>
    <mergeCell ref="C9:C10"/>
    <mergeCell ref="D9:D10"/>
    <mergeCell ref="E9:E10"/>
    <mergeCell ref="F3:H3"/>
    <mergeCell ref="J5:J6"/>
    <mergeCell ref="K5:K6"/>
    <mergeCell ref="L5:L6"/>
    <mergeCell ref="A7:A8"/>
    <mergeCell ref="B7:B8"/>
    <mergeCell ref="F7:F8"/>
    <mergeCell ref="D7:D8"/>
    <mergeCell ref="E7:E8"/>
    <mergeCell ref="G7:G8"/>
    <mergeCell ref="H7:H8"/>
    <mergeCell ref="A5:A6"/>
    <mergeCell ref="B5:B6"/>
    <mergeCell ref="F5:F6"/>
    <mergeCell ref="G5:G6"/>
    <mergeCell ref="H5:H6"/>
    <mergeCell ref="I5:I6"/>
    <mergeCell ref="C5:C6"/>
    <mergeCell ref="D5:D6"/>
    <mergeCell ref="E5:E6"/>
    <mergeCell ref="C7:C8"/>
  </mergeCells>
  <pageMargins left="0.2" right="0.2"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Start Up Questions</vt:lpstr>
      <vt:lpstr>Current Questions</vt:lpstr>
      <vt:lpstr>Goals</vt:lpstr>
      <vt:lpstr>Scorecard</vt:lpstr>
      <vt:lpstr>Assessment Form</vt:lpstr>
    </vt:vector>
  </TitlesOfParts>
  <Company>Indiana University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srdeemer</dc:creator>
  <cp:lastModifiedBy>srdeemer</cp:lastModifiedBy>
  <cp:lastPrinted>2014-02-04T13:56:39Z</cp:lastPrinted>
  <dcterms:created xsi:type="dcterms:W3CDTF">2010-11-17T17:20:43Z</dcterms:created>
  <dcterms:modified xsi:type="dcterms:W3CDTF">2014-04-18T15:42:50Z</dcterms:modified>
</cp:coreProperties>
</file>